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580" windowHeight="7740" activeTab="3"/>
  </bookViews>
  <sheets>
    <sheet name="Assumptions" sheetId="1" r:id="rId1"/>
    <sheet name="2014IncomeStatement" sheetId="2" r:id="rId2"/>
    <sheet name="MasterBudget" sheetId="3" r:id="rId3"/>
    <sheet name="FlexibleBudget" sheetId="4" r:id="rId4"/>
    <sheet name="Comparison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J26" i="1"/>
  <c r="H12" i="4" l="1"/>
  <c r="H20" i="4" s="1"/>
  <c r="D4" i="4"/>
  <c r="H25" i="4"/>
  <c r="H21" i="4"/>
  <c r="C4" i="4"/>
  <c r="B23" i="4"/>
  <c r="B22" i="4"/>
  <c r="B19" i="4"/>
  <c r="B18" i="4"/>
  <c r="L13" i="4"/>
  <c r="L12" i="4"/>
  <c r="B12" i="4"/>
  <c r="N3" i="4"/>
  <c r="H7" i="4"/>
  <c r="H6" i="4"/>
  <c r="H4" i="4"/>
  <c r="D5" i="4" l="1"/>
  <c r="I19" i="4" s="1"/>
  <c r="H3" i="4"/>
  <c r="H25" i="3"/>
  <c r="H21" i="3"/>
  <c r="C23" i="3"/>
  <c r="C22" i="3"/>
  <c r="K13" i="3"/>
  <c r="K12" i="3"/>
  <c r="H6" i="3"/>
  <c r="H4" i="3"/>
  <c r="C4" i="3"/>
  <c r="L7" i="2"/>
  <c r="L9" i="2"/>
  <c r="E32" i="1"/>
  <c r="E34" i="1" s="1"/>
  <c r="E33" i="1"/>
  <c r="E31" i="1"/>
  <c r="E28" i="1"/>
  <c r="E27" i="1"/>
  <c r="E25" i="1"/>
  <c r="E24" i="1"/>
  <c r="M45" i="1"/>
  <c r="M44" i="1"/>
  <c r="J44" i="1"/>
  <c r="K44" i="1" s="1"/>
  <c r="J45" i="1"/>
  <c r="I45" i="1"/>
  <c r="M36" i="1"/>
  <c r="M35" i="1"/>
  <c r="M34" i="1"/>
  <c r="J35" i="1"/>
  <c r="J36" i="1"/>
  <c r="K36" i="1" s="1"/>
  <c r="N36" i="1" s="1"/>
  <c r="J37" i="1"/>
  <c r="K37" i="1" s="1"/>
  <c r="J34" i="1"/>
  <c r="K34" i="1" s="1"/>
  <c r="M37" i="1"/>
  <c r="K35" i="1"/>
  <c r="I21" i="1"/>
  <c r="I19" i="1"/>
  <c r="I25" i="1"/>
  <c r="I18" i="1"/>
  <c r="I28" i="1"/>
  <c r="B7" i="2"/>
  <c r="B6" i="2"/>
  <c r="L5" i="2" s="1"/>
  <c r="C10" i="2"/>
  <c r="J9" i="1"/>
  <c r="I20" i="1" l="1"/>
  <c r="I22" i="1" s="1"/>
  <c r="N37" i="1"/>
  <c r="J46" i="1"/>
  <c r="K45" i="1"/>
  <c r="N45" i="1" s="1"/>
  <c r="N35" i="1"/>
  <c r="N34" i="1"/>
  <c r="J38" i="1"/>
  <c r="L44" i="1"/>
  <c r="O44" i="1" s="1"/>
  <c r="N44" i="1"/>
  <c r="L36" i="1"/>
  <c r="O36" i="1" s="1"/>
  <c r="P36" i="1" s="1"/>
  <c r="L34" i="1"/>
  <c r="O34" i="1" s="1"/>
  <c r="L35" i="1"/>
  <c r="O35" i="1" s="1"/>
  <c r="P35" i="1" s="1"/>
  <c r="L37" i="1"/>
  <c r="O37" i="1" s="1"/>
  <c r="P37" i="1" l="1"/>
  <c r="P44" i="1"/>
  <c r="L45" i="1"/>
  <c r="O45" i="1" s="1"/>
  <c r="P45" i="1" s="1"/>
  <c r="P46" i="1" s="1"/>
  <c r="I29" i="1"/>
  <c r="P34" i="1"/>
  <c r="P38" i="1"/>
  <c r="F4" i="1" l="1"/>
  <c r="E23" i="1"/>
  <c r="C22" i="5"/>
  <c r="C21" i="5"/>
  <c r="B4" i="3" l="1"/>
  <c r="H13" i="4"/>
  <c r="L3" i="3"/>
  <c r="H12" i="3"/>
  <c r="C12" i="3"/>
  <c r="C19" i="3" s="1"/>
  <c r="H13" i="3"/>
  <c r="E30" i="1"/>
  <c r="E26" i="1"/>
  <c r="E29" i="1"/>
  <c r="C8" i="2"/>
  <c r="C18" i="3" l="1"/>
  <c r="H20" i="3"/>
  <c r="H24" i="4"/>
  <c r="I26" i="4" s="1"/>
  <c r="H14" i="4"/>
  <c r="B20" i="4" s="1"/>
  <c r="H3" i="3"/>
  <c r="H5" i="3" s="1"/>
  <c r="H7" i="3" s="1"/>
  <c r="C11" i="2"/>
  <c r="L12" i="2" s="1"/>
  <c r="L11" i="2"/>
  <c r="C4" i="2"/>
  <c r="C9" i="2" s="1"/>
  <c r="C13" i="2" s="1"/>
  <c r="L4" i="2"/>
  <c r="L6" i="2" s="1"/>
  <c r="D4" i="3"/>
  <c r="D5" i="3" s="1"/>
  <c r="I19" i="3" s="1"/>
  <c r="L13" i="2"/>
  <c r="C3" i="5" l="1"/>
  <c r="B17" i="5"/>
  <c r="D17" i="5" s="1"/>
  <c r="H5" i="4"/>
  <c r="L8" i="2"/>
  <c r="F3" i="5" l="1"/>
  <c r="I3" i="5" s="1"/>
  <c r="J3" i="5" s="1"/>
  <c r="B5" i="5"/>
  <c r="B9" i="5"/>
  <c r="L10" i="2"/>
  <c r="L14" i="2" s="1"/>
  <c r="E17" i="5"/>
  <c r="B4" i="5" l="1"/>
  <c r="E5" i="5"/>
  <c r="I5" i="5" s="1"/>
  <c r="J5" i="5" s="1"/>
  <c r="H14" i="3"/>
  <c r="C20" i="3" s="1"/>
  <c r="C21" i="3" s="1"/>
  <c r="C24" i="3" s="1"/>
  <c r="H24" i="3"/>
  <c r="B8" i="5" s="1"/>
  <c r="C10" i="5" s="1"/>
  <c r="K14" i="3"/>
  <c r="I26" i="3" l="1"/>
  <c r="B20" i="5"/>
  <c r="D20" i="5" s="1"/>
  <c r="E20" i="5" s="1"/>
  <c r="I22" i="3"/>
  <c r="I23" i="3" s="1"/>
  <c r="I27" i="3" s="1"/>
  <c r="B19" i="5"/>
  <c r="E9" i="5"/>
  <c r="I9" i="5" s="1"/>
  <c r="J9" i="5" s="1"/>
  <c r="C6" i="5"/>
  <c r="C7" i="5" s="1"/>
  <c r="C11" i="5" s="1"/>
  <c r="E8" i="5" l="1"/>
  <c r="L14" i="4"/>
  <c r="B21" i="5"/>
  <c r="D19" i="5"/>
  <c r="E19" i="5" s="1"/>
  <c r="D21" i="5" l="1"/>
  <c r="E21" i="5" s="1"/>
  <c r="B22" i="5"/>
  <c r="D22" i="5" s="1"/>
  <c r="E22" i="5" s="1"/>
  <c r="I8" i="5"/>
  <c r="J8" i="5" s="1"/>
  <c r="F10" i="5"/>
  <c r="I10" i="5" s="1"/>
  <c r="J10" i="5" s="1"/>
  <c r="E4" i="5" l="1"/>
  <c r="I4" i="5" l="1"/>
  <c r="J4" i="5" s="1"/>
  <c r="F6" i="5"/>
  <c r="B21" i="4"/>
  <c r="B24" i="4" s="1"/>
  <c r="I22" i="4"/>
  <c r="I23" i="4" s="1"/>
  <c r="I27" i="4" s="1"/>
  <c r="I6" i="5" l="1"/>
  <c r="J6" i="5" s="1"/>
  <c r="F7" i="5"/>
  <c r="I7" i="5" l="1"/>
  <c r="J7" i="5" s="1"/>
  <c r="F11" i="5"/>
  <c r="I11" i="5" s="1"/>
  <c r="J11" i="5" s="1"/>
</calcChain>
</file>

<file path=xl/sharedStrings.xml><?xml version="1.0" encoding="utf-8"?>
<sst xmlns="http://schemas.openxmlformats.org/spreadsheetml/2006/main" count="213" uniqueCount="139">
  <si>
    <t>Revenues</t>
  </si>
  <si>
    <t>Costs and expenses</t>
  </si>
  <si>
    <t>Cost of sales</t>
  </si>
  <si>
    <t>Selling, administrative, and other expenses</t>
  </si>
  <si>
    <t>Total costs and expenses</t>
  </si>
  <si>
    <t>Total</t>
  </si>
  <si>
    <t>Add target ending finished goods inventory</t>
  </si>
  <si>
    <t>Units</t>
  </si>
  <si>
    <t>Selling Price</t>
  </si>
  <si>
    <t>Total Revenues</t>
  </si>
  <si>
    <t>Automotive</t>
  </si>
  <si>
    <t>Total required units</t>
  </si>
  <si>
    <t>Deduct beginning finished goods inventory</t>
  </si>
  <si>
    <t>Units of finished goods to be produced</t>
  </si>
  <si>
    <t>Variable manufacturing overhead</t>
  </si>
  <si>
    <t>Fixed manufacturing costs</t>
  </si>
  <si>
    <t>Total manufacturing operations overhead costs</t>
  </si>
  <si>
    <t>Selling and administrative variable costs increase:</t>
  </si>
  <si>
    <t>Wholesale prices of cars increase:</t>
  </si>
  <si>
    <t>Production costs in all categories increase:</t>
  </si>
  <si>
    <t>Direct materials</t>
  </si>
  <si>
    <t>Direct labor</t>
  </si>
  <si>
    <t>Average selling price per vehicle</t>
  </si>
  <si>
    <t>Less variable selling and administrative costs</t>
  </si>
  <si>
    <t>Total variable costs</t>
  </si>
  <si>
    <t>Contribution Margin</t>
  </si>
  <si>
    <t>Less fixed manufacturing costs</t>
  </si>
  <si>
    <t>Less fixed selling and administrative costs</t>
  </si>
  <si>
    <t>Total fixed costs</t>
  </si>
  <si>
    <t>Operating Income</t>
  </si>
  <si>
    <t>Variable manufacturing overhead costs</t>
  </si>
  <si>
    <t>Automotive interest expense</t>
  </si>
  <si>
    <t>Automotive interest income and other income</t>
  </si>
  <si>
    <t>Ending inventory Decrease:</t>
  </si>
  <si>
    <t>Related Data</t>
  </si>
  <si>
    <t>Cost of sales comprised of:</t>
  </si>
  <si>
    <t>Sales volume increase:</t>
  </si>
  <si>
    <t>Revenue:</t>
  </si>
  <si>
    <t>Global sales volume:</t>
  </si>
  <si>
    <t>Average production costs of automobile</t>
  </si>
  <si>
    <t>Selling, general, and administrative expenses:</t>
  </si>
  <si>
    <t>S, A, and O expenses increase</t>
  </si>
  <si>
    <t xml:space="preserve">S, A, and O fixed costs </t>
  </si>
  <si>
    <t xml:space="preserve">Variable S, G and O costs </t>
  </si>
  <si>
    <t>Equity in net income of affiliated companies</t>
  </si>
  <si>
    <t>Income(Loss) before income taxes-Automotive</t>
  </si>
  <si>
    <t>Basic assumptions underlying the flexible budet</t>
  </si>
  <si>
    <t>Basic Assumptions</t>
  </si>
  <si>
    <t>2014 Traditional  Income Statement: Automotive Division (in millions)</t>
  </si>
  <si>
    <t>Revenue</t>
  </si>
  <si>
    <t>Less variable cost of goods sold</t>
  </si>
  <si>
    <t>Gross Contribution margin</t>
  </si>
  <si>
    <t>Less variable selling, administrative and other expenses</t>
  </si>
  <si>
    <t>Less fixed expenses</t>
  </si>
  <si>
    <t>Net profit</t>
  </si>
  <si>
    <t>Net Profit</t>
  </si>
  <si>
    <t>2104 Contribution Format Income Statement: Automotive Division (in millions)</t>
  </si>
  <si>
    <t>Cost of Goods Sold</t>
  </si>
  <si>
    <t>Direct Labor</t>
  </si>
  <si>
    <t>Factory Overhead</t>
  </si>
  <si>
    <t>Total Manufacturing Cost</t>
  </si>
  <si>
    <t>Add Beg Finished Inventory</t>
  </si>
  <si>
    <t>Ending inventory units:</t>
  </si>
  <si>
    <t xml:space="preserve">Budgeted unit sales </t>
  </si>
  <si>
    <t>Schedule Three: Direct Materials Purchases Budget</t>
  </si>
  <si>
    <t>Budgeted cost of direct materials</t>
  </si>
  <si>
    <t>Budeted Cost of Direct Labor</t>
  </si>
  <si>
    <t>Schedule Two: Production Budget</t>
  </si>
  <si>
    <t>Schedule Five: Manufacturing Overhead Costs Budget</t>
  </si>
  <si>
    <t>Fixed manufacturing overhead costs</t>
  </si>
  <si>
    <t>Schedule Six: Selling, General, and Administrative Budget (in millions)</t>
  </si>
  <si>
    <t>Variable Costs</t>
  </si>
  <si>
    <t>Fixed Costs</t>
  </si>
  <si>
    <t>Direct Material</t>
  </si>
  <si>
    <t>Less End Inventory</t>
  </si>
  <si>
    <t xml:space="preserve">Sales </t>
  </si>
  <si>
    <t>Less variable manufacturing costs</t>
  </si>
  <si>
    <t>Flexible Budget</t>
  </si>
  <si>
    <t>Master Budget</t>
  </si>
  <si>
    <t>Total Variable costs</t>
  </si>
  <si>
    <t>Actual Results</t>
  </si>
  <si>
    <t>Variance</t>
  </si>
  <si>
    <t>Cost and Expenses</t>
  </si>
  <si>
    <t>Income(loss) before income taxes - Automotive</t>
  </si>
  <si>
    <t>Comparisons with Actual Results</t>
  </si>
  <si>
    <t xml:space="preserve">Variance </t>
  </si>
  <si>
    <t>Source: Ford Motor Company 2014 Annual Report</t>
  </si>
  <si>
    <t>Source: 2015 Ford SEC 10-K</t>
  </si>
  <si>
    <t>Schedule 7 Budgeted Cost of Goods Sold</t>
  </si>
  <si>
    <t>Schedule 8: Master/Static Budget</t>
  </si>
  <si>
    <t>Schedule 8: Flexible  Budget</t>
  </si>
  <si>
    <t>Budgeted Cost of Direct Labor</t>
  </si>
  <si>
    <t>Variance %</t>
  </si>
  <si>
    <t>Figure</t>
  </si>
  <si>
    <t>Percentage</t>
  </si>
  <si>
    <t>Total units sold in 2014:</t>
  </si>
  <si>
    <t>Sales prices increase to:</t>
  </si>
  <si>
    <t>Average unit cost of an automobile increase to</t>
  </si>
  <si>
    <t>Selling and administrative fixed costs increase:</t>
  </si>
  <si>
    <t>Cost of Sales</t>
  </si>
  <si>
    <t>Units sold in 2014</t>
  </si>
  <si>
    <t>Units sold in 2015</t>
  </si>
  <si>
    <t>Beginning Inventory Balance, January 1, 2014</t>
  </si>
  <si>
    <t>Beginning Inventory Balance, January 1, 2015</t>
  </si>
  <si>
    <t>Production volume units</t>
  </si>
  <si>
    <t>Total units available for sales in 2014</t>
  </si>
  <si>
    <t>Total units available for sales in 2015</t>
  </si>
  <si>
    <t>Ending Inventory Balance, December 31, 2014</t>
  </si>
  <si>
    <t>Ending Inventory Balance, December 31, 2015</t>
  </si>
  <si>
    <t>Total units sold in 2014</t>
  </si>
  <si>
    <t>Total units sold in 2015</t>
  </si>
  <si>
    <t>Account</t>
  </si>
  <si>
    <t>Degree of Variable</t>
  </si>
  <si>
    <t>2014 TC per unit</t>
  </si>
  <si>
    <t>2014 Variable Cost (VC)</t>
  </si>
  <si>
    <t>2014 Fixed Cost (FC)</t>
  </si>
  <si>
    <t>Revised 2015 VC for 2014 units</t>
  </si>
  <si>
    <t>Revised 2015 FC for 2014 units</t>
  </si>
  <si>
    <t>Revised 2015 TC for 2014 unit</t>
  </si>
  <si>
    <t>Production cost per unit</t>
  </si>
  <si>
    <t>Direct Materials</t>
  </si>
  <si>
    <t>Variable Manufacturing overhead costs</t>
  </si>
  <si>
    <t>Targeted Increase for 2015</t>
  </si>
  <si>
    <t>Change in Production cost per unit</t>
  </si>
  <si>
    <t>Change in S, G and  A Costs ( in Millions)</t>
  </si>
  <si>
    <t>Fixed Cost - S,G&amp;A costs</t>
  </si>
  <si>
    <t>Variable Cost - S,G&amp;A costs</t>
  </si>
  <si>
    <t>Production volume units:</t>
  </si>
  <si>
    <t>Cost of sales:</t>
  </si>
  <si>
    <t>Beginning inventory units:</t>
  </si>
  <si>
    <t>Beginning inventory:</t>
  </si>
  <si>
    <t>Ending inventory:</t>
  </si>
  <si>
    <t>Sales volume increase to units:</t>
  </si>
  <si>
    <t xml:space="preserve">Production increase to: </t>
  </si>
  <si>
    <t>Schedule Four: Direct Manufacturing Lobor Costs Budget</t>
  </si>
  <si>
    <t>Schedule One Sales Budget for Master Budget</t>
  </si>
  <si>
    <t>Schedule One Sales Budget for the flexible Budget</t>
  </si>
  <si>
    <t>Schedule Six: Selling, General, and Administrative Budget</t>
  </si>
  <si>
    <t>Units (per 2015 Annual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</si>
</sst>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00"/>
    <numFmt numFmtId="166" formatCode="#,##0.000"/>
    <numFmt numFmtId="167" formatCode="_(* #,##0_);_(* \(#,##0\);_(* &quot;-&quot;??_);_(@_)"/>
    <numFmt numFmtId="168" formatCode="_(* #,##0.000_);_(* \(#,##0.000\);_(* &quot;-&quot;??_);_(@_)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4" fillId="0" borderId="0" xfId="0" applyFont="1"/>
    <xf numFmtId="0" fontId="3" fillId="0" borderId="0" xfId="0" applyFont="1"/>
    <xf numFmtId="167" fontId="4" fillId="0" borderId="0" xfId="1" applyNumberFormat="1" applyFont="1" applyAlignment="1">
      <alignment horizontal="right" wrapText="1"/>
    </xf>
    <xf numFmtId="167" fontId="4" fillId="0" borderId="1" xfId="1" applyNumberFormat="1" applyFont="1" applyBorder="1" applyAlignment="1">
      <alignment horizontal="right" wrapText="1"/>
    </xf>
    <xf numFmtId="167" fontId="4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left" indent="1"/>
    </xf>
    <xf numFmtId="167" fontId="4" fillId="0" borderId="0" xfId="1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6" fontId="4" fillId="0" borderId="1" xfId="0" applyNumberFormat="1" applyFont="1" applyBorder="1"/>
    <xf numFmtId="0" fontId="3" fillId="0" borderId="0" xfId="0" applyFont="1" applyAlignment="1">
      <alignment horizontal="center"/>
    </xf>
    <xf numFmtId="9" fontId="4" fillId="0" borderId="0" xfId="2" applyFont="1"/>
    <xf numFmtId="6" fontId="4" fillId="0" borderId="0" xfId="0" applyNumberFormat="1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0" borderId="0" xfId="0" applyFont="1"/>
    <xf numFmtId="167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3" applyFont="1"/>
    <xf numFmtId="0" fontId="6" fillId="0" borderId="0" xfId="0" applyFont="1"/>
    <xf numFmtId="0" fontId="4" fillId="0" borderId="1" xfId="0" applyFont="1" applyBorder="1"/>
    <xf numFmtId="167" fontId="4" fillId="0" borderId="1" xfId="1" applyNumberFormat="1" applyFont="1" applyBorder="1"/>
    <xf numFmtId="6" fontId="4" fillId="0" borderId="0" xfId="0" applyNumberFormat="1" applyFont="1" applyBorder="1"/>
    <xf numFmtId="167" fontId="4" fillId="0" borderId="2" xfId="1" applyNumberFormat="1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left" indent="1"/>
    </xf>
    <xf numFmtId="1" fontId="4" fillId="0" borderId="0" xfId="0" applyNumberFormat="1" applyFont="1" applyBorder="1" applyAlignment="1">
      <alignment horizontal="left" indent="7"/>
    </xf>
    <xf numFmtId="164" fontId="7" fillId="0" borderId="0" xfId="0" applyNumberFormat="1" applyFont="1" applyBorder="1"/>
    <xf numFmtId="0" fontId="7" fillId="0" borderId="0" xfId="0" applyFont="1" applyBorder="1"/>
    <xf numFmtId="165" fontId="7" fillId="0" borderId="0" xfId="0" applyNumberFormat="1" applyFont="1" applyBorder="1" applyAlignment="1"/>
    <xf numFmtId="167" fontId="4" fillId="0" borderId="2" xfId="1" applyNumberFormat="1" applyFont="1" applyBorder="1" applyAlignment="1">
      <alignment horizontal="right" wrapText="1"/>
    </xf>
    <xf numFmtId="3" fontId="4" fillId="0" borderId="0" xfId="0" applyNumberFormat="1" applyFont="1" applyBorder="1"/>
    <xf numFmtId="164" fontId="8" fillId="0" borderId="0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/>
    <xf numFmtId="0" fontId="8" fillId="0" borderId="0" xfId="0" applyFont="1" applyBorder="1" applyAlignment="1">
      <alignment vertical="top"/>
    </xf>
    <xf numFmtId="37" fontId="8" fillId="0" borderId="0" xfId="1" applyNumberFormat="1" applyFont="1" applyFill="1" applyBorder="1" applyAlignment="1">
      <alignment horizontal="right" vertical="top" wrapText="1"/>
    </xf>
    <xf numFmtId="37" fontId="8" fillId="0" borderId="1" xfId="1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168" fontId="8" fillId="0" borderId="0" xfId="1" applyNumberFormat="1" applyFont="1" applyFill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vertical="top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9" fontId="8" fillId="0" borderId="0" xfId="0" applyNumberFormat="1" applyFont="1"/>
    <xf numFmtId="167" fontId="8" fillId="0" borderId="0" xfId="1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0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9" fontId="8" fillId="0" borderId="0" xfId="2" applyFont="1"/>
    <xf numFmtId="0" fontId="8" fillId="0" borderId="0" xfId="0" applyFont="1" applyAlignment="1">
      <alignment horizontal="left" vertical="center" indent="5"/>
    </xf>
    <xf numFmtId="165" fontId="8" fillId="0" borderId="0" xfId="0" applyNumberFormat="1" applyFont="1"/>
    <xf numFmtId="6" fontId="8" fillId="0" borderId="0" xfId="0" applyNumberFormat="1" applyFont="1"/>
    <xf numFmtId="43" fontId="8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0" fontId="8" fillId="0" borderId="0" xfId="0" applyFont="1" applyAlignment="1">
      <alignment horizontal="left"/>
    </xf>
    <xf numFmtId="166" fontId="8" fillId="0" borderId="0" xfId="0" applyNumberFormat="1" applyFont="1"/>
    <xf numFmtId="164" fontId="8" fillId="0" borderId="0" xfId="0" applyNumberFormat="1" applyFont="1"/>
    <xf numFmtId="0" fontId="10" fillId="0" borderId="0" xfId="0" applyFont="1" applyBorder="1" applyAlignment="1">
      <alignment vertical="top"/>
    </xf>
    <xf numFmtId="0" fontId="8" fillId="0" borderId="0" xfId="0" applyFont="1" applyAlignment="1">
      <alignment horizontal="right" wrapText="1"/>
    </xf>
    <xf numFmtId="167" fontId="9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6" fontId="8" fillId="0" borderId="0" xfId="0" applyNumberFormat="1" applyFont="1" applyAlignment="1">
      <alignment horizontal="right" wrapText="1"/>
    </xf>
    <xf numFmtId="6" fontId="8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9" fontId="8" fillId="0" borderId="0" xfId="2" applyFont="1" applyBorder="1" applyAlignment="1">
      <alignment horizontal="center" vertical="top"/>
    </xf>
    <xf numFmtId="9" fontId="8" fillId="0" borderId="0" xfId="0" applyNumberFormat="1" applyFont="1" applyBorder="1" applyAlignment="1">
      <alignment horizontal="center" vertical="top"/>
    </xf>
    <xf numFmtId="169" fontId="8" fillId="0" borderId="0" xfId="1" applyNumberFormat="1" applyFont="1" applyBorder="1" applyAlignment="1">
      <alignment vertical="top"/>
    </xf>
    <xf numFmtId="0" fontId="11" fillId="0" borderId="0" xfId="3" applyFont="1"/>
    <xf numFmtId="0" fontId="9" fillId="0" borderId="0" xfId="0" applyFont="1" applyBorder="1" applyAlignment="1">
      <alignment horizontal="left" vertical="top"/>
    </xf>
    <xf numFmtId="168" fontId="8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1" fontId="8" fillId="0" borderId="0" xfId="0" applyNumberFormat="1" applyFont="1" applyBorder="1" applyAlignment="1"/>
    <xf numFmtId="3" fontId="8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horizontal="center" vertical="top"/>
    </xf>
    <xf numFmtId="3" fontId="8" fillId="0" borderId="0" xfId="1" applyNumberFormat="1" applyFont="1" applyBorder="1" applyAlignment="1">
      <alignment vertical="top"/>
    </xf>
    <xf numFmtId="3" fontId="8" fillId="0" borderId="0" xfId="0" applyNumberFormat="1" applyFont="1" applyAlignment="1"/>
    <xf numFmtId="3" fontId="8" fillId="0" borderId="0" xfId="1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8" fillId="0" borderId="1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3" fontId="8" fillId="0" borderId="0" xfId="2" applyNumberFormat="1" applyFont="1"/>
    <xf numFmtId="3" fontId="4" fillId="0" borderId="0" xfId="0" applyNumberFormat="1" applyFont="1" applyAlignment="1">
      <alignment horizontal="right" wrapText="1"/>
    </xf>
    <xf numFmtId="167" fontId="12" fillId="0" borderId="0" xfId="1" applyNumberFormat="1" applyFont="1" applyAlignment="1">
      <alignment horizontal="right" wrapText="1"/>
    </xf>
    <xf numFmtId="167" fontId="3" fillId="0" borderId="0" xfId="1" applyNumberFormat="1" applyFont="1"/>
    <xf numFmtId="167" fontId="3" fillId="0" borderId="0" xfId="1" applyNumberFormat="1" applyFont="1" applyBorder="1" applyAlignment="1">
      <alignment horizontal="right" wrapText="1"/>
    </xf>
    <xf numFmtId="37" fontId="9" fillId="0" borderId="0" xfId="1" applyNumberFormat="1" applyFont="1" applyFill="1" applyBorder="1" applyAlignment="1">
      <alignment horizontal="right" vertical="top" wrapText="1"/>
    </xf>
    <xf numFmtId="3" fontId="9" fillId="0" borderId="0" xfId="0" applyNumberFormat="1" applyFont="1" applyBorder="1" applyAlignment="1">
      <alignment vertical="top"/>
    </xf>
    <xf numFmtId="3" fontId="4" fillId="0" borderId="0" xfId="1" applyNumberFormat="1" applyFont="1" applyBorder="1" applyAlignment="1">
      <alignment horizontal="right" wrapText="1"/>
    </xf>
    <xf numFmtId="3" fontId="4" fillId="0" borderId="2" xfId="1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1" applyNumberFormat="1" applyFont="1" applyAlignment="1">
      <alignment horizontal="right" wrapText="1"/>
    </xf>
    <xf numFmtId="37" fontId="4" fillId="0" borderId="1" xfId="1" applyNumberFormat="1" applyFont="1" applyBorder="1" applyAlignment="1">
      <alignment horizontal="right" wrapText="1"/>
    </xf>
    <xf numFmtId="9" fontId="4" fillId="0" borderId="0" xfId="2" applyFont="1" applyAlignment="1">
      <alignment horizontal="center" wrapText="1"/>
    </xf>
    <xf numFmtId="0" fontId="4" fillId="0" borderId="0" xfId="0" applyFont="1" applyAlignment="1">
      <alignment horizontal="center" wrapText="1"/>
    </xf>
    <xf numFmtId="6" fontId="4" fillId="0" borderId="1" xfId="0" applyNumberFormat="1" applyFont="1" applyBorder="1" applyAlignment="1">
      <alignment horizontal="right"/>
    </xf>
    <xf numFmtId="3" fontId="4" fillId="0" borderId="0" xfId="1" applyNumberFormat="1" applyFont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rporate.ford.com/annual-reports/annual-report-2014/files/201_Ford_Annual_Report_s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21.q4cdn.com/450475907/files/doc_downloads/Ford-10-K-(20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D13" zoomScale="70" zoomScaleNormal="70" workbookViewId="0">
      <selection activeCell="G23" sqref="G23"/>
    </sheetView>
  </sheetViews>
  <sheetFormatPr defaultColWidth="9" defaultRowHeight="15.75" x14ac:dyDescent="0.25"/>
  <cols>
    <col min="1" max="1" width="9" style="51"/>
    <col min="2" max="2" width="11.125" style="51" customWidth="1"/>
    <col min="3" max="3" width="9" style="51"/>
    <col min="4" max="4" width="22.125" style="51" customWidth="1"/>
    <col min="5" max="5" width="21.375" style="51" customWidth="1"/>
    <col min="6" max="6" width="29.625" style="51" customWidth="1"/>
    <col min="7" max="7" width="22.625" style="51" customWidth="1"/>
    <col min="8" max="8" width="44.875" style="51" customWidth="1"/>
    <col min="9" max="9" width="18.625" style="51" customWidth="1"/>
    <col min="10" max="10" width="19" style="51" customWidth="1"/>
    <col min="11" max="11" width="27.125" style="51" customWidth="1"/>
    <col min="12" max="12" width="20.75" style="51" customWidth="1"/>
    <col min="13" max="13" width="25.375" style="51" customWidth="1"/>
    <col min="14" max="14" width="30.125" style="51" customWidth="1"/>
    <col min="15" max="16" width="32.75" style="51" customWidth="1"/>
    <col min="17" max="16384" width="9" style="51"/>
  </cols>
  <sheetData>
    <row r="1" spans="1:15" x14ac:dyDescent="0.25">
      <c r="A1" s="50" t="s">
        <v>47</v>
      </c>
      <c r="B1" s="50"/>
      <c r="C1" s="50"/>
      <c r="D1" s="50"/>
      <c r="E1" s="50"/>
      <c r="F1" s="50"/>
      <c r="G1" s="50"/>
    </row>
    <row r="2" spans="1:15" x14ac:dyDescent="0.25">
      <c r="A2" s="52"/>
      <c r="B2" s="50"/>
      <c r="C2" s="50"/>
      <c r="D2" s="50"/>
      <c r="E2" s="50"/>
      <c r="F2" s="53"/>
      <c r="G2" s="53"/>
      <c r="H2" s="109" t="s">
        <v>34</v>
      </c>
      <c r="I2" s="109"/>
      <c r="J2" s="109"/>
      <c r="K2" s="109"/>
    </row>
    <row r="4" spans="1:15" x14ac:dyDescent="0.25">
      <c r="A4" s="54" t="s">
        <v>36</v>
      </c>
      <c r="E4" s="55">
        <v>0.1</v>
      </c>
      <c r="F4" s="56">
        <f>I29</f>
        <v>6953100.0000000009</v>
      </c>
      <c r="G4" s="57"/>
      <c r="H4" s="51" t="s">
        <v>127</v>
      </c>
      <c r="J4" s="92">
        <v>6321000</v>
      </c>
    </row>
    <row r="5" spans="1:15" x14ac:dyDescent="0.25">
      <c r="A5" s="54" t="s">
        <v>18</v>
      </c>
      <c r="E5" s="58">
        <v>5.0000000000000001E-3</v>
      </c>
      <c r="F5" s="56"/>
      <c r="G5" s="59"/>
      <c r="H5" s="51" t="s">
        <v>38</v>
      </c>
      <c r="J5" s="92">
        <v>87900000</v>
      </c>
    </row>
    <row r="6" spans="1:15" x14ac:dyDescent="0.25">
      <c r="A6" s="51" t="s">
        <v>19</v>
      </c>
      <c r="E6" s="60">
        <v>0.01</v>
      </c>
      <c r="F6" s="56"/>
      <c r="G6" s="56"/>
      <c r="H6" s="51" t="s">
        <v>128</v>
      </c>
      <c r="J6" s="92">
        <v>123516000000</v>
      </c>
    </row>
    <row r="7" spans="1:15" x14ac:dyDescent="0.25">
      <c r="A7" s="54" t="s">
        <v>15</v>
      </c>
      <c r="B7" s="61"/>
      <c r="E7" s="55">
        <v>0</v>
      </c>
      <c r="F7" s="56"/>
      <c r="G7" s="56"/>
      <c r="H7" s="51" t="s">
        <v>37</v>
      </c>
      <c r="J7" s="92">
        <v>135782000000</v>
      </c>
    </row>
    <row r="8" spans="1:15" x14ac:dyDescent="0.25">
      <c r="A8" s="54" t="s">
        <v>33</v>
      </c>
      <c r="B8" s="61"/>
      <c r="E8" s="55">
        <v>0</v>
      </c>
      <c r="F8" s="56"/>
      <c r="G8" s="56"/>
      <c r="H8" s="51" t="s">
        <v>40</v>
      </c>
      <c r="J8" s="92">
        <v>10243000000</v>
      </c>
    </row>
    <row r="9" spans="1:15" x14ac:dyDescent="0.25">
      <c r="A9" s="68" t="s">
        <v>41</v>
      </c>
      <c r="B9" s="54"/>
      <c r="E9" s="55">
        <v>0.04</v>
      </c>
      <c r="F9" s="56"/>
      <c r="G9" s="56"/>
      <c r="H9" s="51" t="s">
        <v>22</v>
      </c>
      <c r="J9" s="92">
        <f>J7/J15</f>
        <v>21508.3161729764</v>
      </c>
      <c r="L9" s="63"/>
      <c r="N9" s="64"/>
    </row>
    <row r="10" spans="1:15" x14ac:dyDescent="0.25">
      <c r="A10" s="54"/>
      <c r="B10" s="61"/>
      <c r="E10" s="62"/>
      <c r="F10" s="56"/>
      <c r="G10" s="56"/>
      <c r="H10" s="51" t="s">
        <v>39</v>
      </c>
      <c r="J10" s="92">
        <v>21000</v>
      </c>
    </row>
    <row r="11" spans="1:15" x14ac:dyDescent="0.25">
      <c r="A11" s="50" t="s">
        <v>35</v>
      </c>
      <c r="E11" s="65"/>
      <c r="F11" s="56"/>
      <c r="G11" s="56"/>
      <c r="H11" s="51" t="s">
        <v>129</v>
      </c>
      <c r="J11" s="92">
        <v>367000</v>
      </c>
      <c r="L11" s="62"/>
    </row>
    <row r="12" spans="1:15" x14ac:dyDescent="0.25">
      <c r="A12" s="66" t="s">
        <v>20</v>
      </c>
      <c r="E12" s="55">
        <v>0.7</v>
      </c>
      <c r="F12" s="56"/>
      <c r="G12" s="56"/>
      <c r="H12" s="51" t="s">
        <v>130</v>
      </c>
      <c r="J12" s="93">
        <v>7708000</v>
      </c>
    </row>
    <row r="13" spans="1:15" x14ac:dyDescent="0.25">
      <c r="A13" s="66" t="s">
        <v>21</v>
      </c>
      <c r="E13" s="55">
        <v>0.1</v>
      </c>
      <c r="F13" s="56"/>
      <c r="G13" s="56"/>
      <c r="H13" s="51" t="s">
        <v>62</v>
      </c>
      <c r="J13" s="93">
        <v>375000</v>
      </c>
    </row>
    <row r="14" spans="1:15" x14ac:dyDescent="0.25">
      <c r="A14" s="68" t="s">
        <v>30</v>
      </c>
      <c r="B14" s="54"/>
      <c r="E14" s="55">
        <v>0.1</v>
      </c>
      <c r="F14" s="56"/>
      <c r="G14" s="56"/>
      <c r="H14" s="51" t="s">
        <v>131</v>
      </c>
      <c r="J14" s="93">
        <v>7866000</v>
      </c>
    </row>
    <row r="15" spans="1:15" x14ac:dyDescent="0.25">
      <c r="A15" s="68" t="s">
        <v>15</v>
      </c>
      <c r="B15" s="54"/>
      <c r="E15" s="55">
        <v>0.1</v>
      </c>
      <c r="F15" s="56"/>
      <c r="G15" s="59"/>
      <c r="H15" s="54" t="s">
        <v>95</v>
      </c>
      <c r="I15" s="61"/>
      <c r="J15" s="92">
        <v>6313000</v>
      </c>
      <c r="O15" s="69"/>
    </row>
    <row r="16" spans="1:15" x14ac:dyDescent="0.25">
      <c r="A16" s="68" t="s">
        <v>42</v>
      </c>
      <c r="B16" s="54"/>
      <c r="E16" s="55">
        <v>0.7</v>
      </c>
      <c r="F16" s="56"/>
      <c r="G16" s="59"/>
    </row>
    <row r="17" spans="1:16" x14ac:dyDescent="0.25">
      <c r="A17" s="68" t="s">
        <v>43</v>
      </c>
      <c r="E17" s="55">
        <v>0.3</v>
      </c>
      <c r="F17" s="56"/>
      <c r="G17" s="59"/>
      <c r="H17" s="71" t="s">
        <v>100</v>
      </c>
      <c r="I17" s="38"/>
      <c r="J17" s="39"/>
    </row>
    <row r="18" spans="1:16" x14ac:dyDescent="0.25">
      <c r="E18" s="70"/>
      <c r="F18" s="56"/>
      <c r="G18" s="72"/>
      <c r="H18" s="40" t="s">
        <v>102</v>
      </c>
      <c r="I18" s="41">
        <f>J11</f>
        <v>367000</v>
      </c>
      <c r="J18" s="39"/>
    </row>
    <row r="19" spans="1:16" x14ac:dyDescent="0.25">
      <c r="F19" s="56"/>
      <c r="G19" s="72"/>
      <c r="H19" s="40" t="s">
        <v>104</v>
      </c>
      <c r="I19" s="41">
        <f>J4</f>
        <v>6321000</v>
      </c>
      <c r="J19" s="39"/>
    </row>
    <row r="20" spans="1:16" x14ac:dyDescent="0.25">
      <c r="A20" s="107"/>
      <c r="B20" s="107"/>
      <c r="C20" s="107"/>
      <c r="D20" s="107"/>
      <c r="E20" s="107"/>
      <c r="F20" s="56"/>
      <c r="G20" s="72"/>
      <c r="H20" s="40" t="s">
        <v>105</v>
      </c>
      <c r="I20" s="41">
        <f>I18+I19</f>
        <v>6688000</v>
      </c>
      <c r="J20" s="39"/>
    </row>
    <row r="21" spans="1:16" x14ac:dyDescent="0.25">
      <c r="A21" s="108" t="s">
        <v>46</v>
      </c>
      <c r="B21" s="108"/>
      <c r="C21" s="108"/>
      <c r="D21" s="108"/>
      <c r="E21" s="108"/>
      <c r="F21" s="73"/>
      <c r="G21" s="74"/>
      <c r="H21" s="40" t="s">
        <v>107</v>
      </c>
      <c r="I21" s="42">
        <f>J13</f>
        <v>375000</v>
      </c>
      <c r="J21" s="39"/>
    </row>
    <row r="22" spans="1:16" x14ac:dyDescent="0.25">
      <c r="F22" s="56"/>
      <c r="G22" s="72"/>
      <c r="H22" s="43" t="s">
        <v>109</v>
      </c>
      <c r="I22" s="101">
        <f>I20-I21</f>
        <v>6313000</v>
      </c>
      <c r="J22" s="39"/>
    </row>
    <row r="23" spans="1:16" x14ac:dyDescent="0.25">
      <c r="A23" s="44" t="s">
        <v>132</v>
      </c>
      <c r="B23" s="45"/>
      <c r="E23" s="67">
        <f>I29</f>
        <v>6953100.0000000009</v>
      </c>
      <c r="F23" s="56"/>
      <c r="G23" s="75"/>
      <c r="H23" s="40"/>
      <c r="I23" s="46"/>
      <c r="J23" s="39"/>
      <c r="K23" s="47"/>
      <c r="L23" s="48"/>
    </row>
    <row r="24" spans="1:16" x14ac:dyDescent="0.25">
      <c r="A24" s="44" t="s">
        <v>96</v>
      </c>
      <c r="B24" s="49"/>
      <c r="E24" s="91">
        <f>J9*(1+E5)</f>
        <v>21615.857753841279</v>
      </c>
      <c r="F24" s="56"/>
      <c r="G24" s="59"/>
      <c r="H24" s="71" t="s">
        <v>101</v>
      </c>
      <c r="I24" s="48"/>
    </row>
    <row r="25" spans="1:16" x14ac:dyDescent="0.25">
      <c r="A25" s="44" t="s">
        <v>97</v>
      </c>
      <c r="B25" s="49"/>
      <c r="E25" s="96">
        <f>P38</f>
        <v>21189</v>
      </c>
      <c r="F25" s="56"/>
      <c r="G25" s="59"/>
      <c r="H25" s="40" t="s">
        <v>103</v>
      </c>
      <c r="I25" s="41">
        <f>J13</f>
        <v>375000</v>
      </c>
    </row>
    <row r="26" spans="1:16" x14ac:dyDescent="0.25">
      <c r="A26" s="44" t="s">
        <v>99</v>
      </c>
      <c r="B26" s="49"/>
      <c r="E26" s="67">
        <f>E23*P38</f>
        <v>147329235900.00003</v>
      </c>
      <c r="F26" s="56"/>
      <c r="G26" s="76"/>
      <c r="H26" s="40" t="s">
        <v>104</v>
      </c>
      <c r="I26" s="41">
        <f>I19*(1+E4)</f>
        <v>6953100.0000000009</v>
      </c>
      <c r="J26" s="51">
        <f>375+6313</f>
        <v>6688</v>
      </c>
    </row>
    <row r="27" spans="1:16" x14ac:dyDescent="0.25">
      <c r="A27" s="44" t="s">
        <v>17</v>
      </c>
      <c r="B27" s="49"/>
      <c r="E27" s="67">
        <f>P45</f>
        <v>3195816000</v>
      </c>
      <c r="F27" s="56"/>
      <c r="G27" s="76"/>
      <c r="H27" s="40" t="s">
        <v>106</v>
      </c>
      <c r="I27" s="41">
        <f>I26+I25</f>
        <v>7328100.0000000009</v>
      </c>
    </row>
    <row r="28" spans="1:16" x14ac:dyDescent="0.25">
      <c r="A28" s="44" t="s">
        <v>98</v>
      </c>
      <c r="B28" s="49"/>
      <c r="E28" s="67">
        <f>P44</f>
        <v>7456904000</v>
      </c>
      <c r="F28" s="56"/>
      <c r="G28" s="77"/>
      <c r="H28" s="40" t="s">
        <v>108</v>
      </c>
      <c r="I28" s="42">
        <f>I25</f>
        <v>375000</v>
      </c>
    </row>
    <row r="29" spans="1:16" x14ac:dyDescent="0.25">
      <c r="A29" s="44" t="s">
        <v>133</v>
      </c>
      <c r="B29" s="45"/>
      <c r="E29" s="67">
        <f>E23</f>
        <v>6953100.0000000009</v>
      </c>
      <c r="F29" s="56"/>
      <c r="G29" s="72"/>
      <c r="H29" s="43" t="s">
        <v>110</v>
      </c>
      <c r="I29" s="101">
        <f>I27-I28</f>
        <v>6953100.0000000009</v>
      </c>
    </row>
    <row r="30" spans="1:16" x14ac:dyDescent="0.25">
      <c r="A30" s="44" t="s">
        <v>37</v>
      </c>
      <c r="B30" s="49"/>
      <c r="E30" s="67">
        <f>E23*E24</f>
        <v>150297220548.23383</v>
      </c>
      <c r="F30" s="56"/>
      <c r="G30" s="72"/>
    </row>
    <row r="31" spans="1:16" x14ac:dyDescent="0.25">
      <c r="A31" s="51" t="s">
        <v>129</v>
      </c>
      <c r="B31" s="49"/>
      <c r="E31" s="67">
        <f>$J$14*(1+E8)</f>
        <v>7866000</v>
      </c>
      <c r="F31" s="56"/>
      <c r="G31" s="72"/>
      <c r="I31" s="83"/>
      <c r="J31" s="84"/>
      <c r="K31" s="39"/>
      <c r="L31" s="85"/>
      <c r="M31" s="86"/>
      <c r="N31" s="47"/>
      <c r="O31" s="47"/>
      <c r="P31" s="47"/>
    </row>
    <row r="32" spans="1:16" x14ac:dyDescent="0.25">
      <c r="A32" s="51" t="s">
        <v>130</v>
      </c>
      <c r="B32" s="45"/>
      <c r="E32" s="67">
        <f>$J$13*(1+E8)</f>
        <v>375000</v>
      </c>
      <c r="F32" s="56"/>
      <c r="G32" s="72"/>
      <c r="H32" s="82" t="s">
        <v>123</v>
      </c>
      <c r="I32" s="47"/>
      <c r="J32" s="39"/>
      <c r="K32" s="47"/>
      <c r="L32" s="47"/>
      <c r="M32" s="39"/>
      <c r="N32" s="47"/>
      <c r="O32" s="47"/>
      <c r="P32" s="87"/>
    </row>
    <row r="33" spans="1:16" x14ac:dyDescent="0.25">
      <c r="A33" s="51" t="s">
        <v>62</v>
      </c>
      <c r="B33" s="49"/>
      <c r="E33" s="67">
        <f>$J$14*(1+E10)</f>
        <v>7866000</v>
      </c>
      <c r="F33" s="56"/>
      <c r="G33" s="72"/>
      <c r="H33" s="71" t="s">
        <v>111</v>
      </c>
      <c r="I33" s="95" t="s">
        <v>112</v>
      </c>
      <c r="J33" s="95" t="s">
        <v>113</v>
      </c>
      <c r="K33" s="95" t="s">
        <v>114</v>
      </c>
      <c r="L33" s="95" t="s">
        <v>115</v>
      </c>
      <c r="M33" s="95" t="s">
        <v>122</v>
      </c>
      <c r="N33" s="95" t="s">
        <v>116</v>
      </c>
      <c r="O33" s="95" t="s">
        <v>117</v>
      </c>
      <c r="P33" s="95" t="s">
        <v>118</v>
      </c>
    </row>
    <row r="34" spans="1:16" x14ac:dyDescent="0.25">
      <c r="A34" s="51" t="s">
        <v>131</v>
      </c>
      <c r="B34" s="45"/>
      <c r="E34" s="91">
        <f>E32</f>
        <v>375000</v>
      </c>
      <c r="F34" s="56"/>
      <c r="G34" s="72"/>
      <c r="H34" s="40" t="s">
        <v>120</v>
      </c>
      <c r="I34" s="78">
        <v>1</v>
      </c>
      <c r="J34" s="88">
        <f>$J$10*E12</f>
        <v>14699.999999999998</v>
      </c>
      <c r="K34" s="88">
        <f>I34*J34</f>
        <v>14699.999999999998</v>
      </c>
      <c r="L34" s="88">
        <f>J34-K34</f>
        <v>0</v>
      </c>
      <c r="M34" s="78">
        <f>$E$6</f>
        <v>0.01</v>
      </c>
      <c r="N34" s="88">
        <f>K34*(1+M34)</f>
        <v>14846.999999999998</v>
      </c>
      <c r="O34" s="88">
        <f>L34</f>
        <v>0</v>
      </c>
      <c r="P34" s="88">
        <f t="shared" ref="P34:P36" si="0">SUM(N34:O34)</f>
        <v>14846.999999999998</v>
      </c>
    </row>
    <row r="35" spans="1:16" x14ac:dyDescent="0.25">
      <c r="E35" s="67"/>
      <c r="F35" s="56"/>
      <c r="G35" s="72"/>
      <c r="H35" s="40" t="s">
        <v>58</v>
      </c>
      <c r="I35" s="78">
        <v>1</v>
      </c>
      <c r="J35" s="88">
        <f t="shared" ref="J35:J37" si="1">$J$10*E13</f>
        <v>2100</v>
      </c>
      <c r="K35" s="88">
        <f>I35*J35</f>
        <v>2100</v>
      </c>
      <c r="L35" s="88">
        <f>J35-K35</f>
        <v>0</v>
      </c>
      <c r="M35" s="78">
        <f>$E$6</f>
        <v>0.01</v>
      </c>
      <c r="N35" s="88">
        <f>K35*(1+M35)</f>
        <v>2121</v>
      </c>
      <c r="O35" s="88">
        <f>L35</f>
        <v>0</v>
      </c>
      <c r="P35" s="88">
        <f t="shared" si="0"/>
        <v>2121</v>
      </c>
    </row>
    <row r="36" spans="1:16" x14ac:dyDescent="0.25">
      <c r="F36" s="56"/>
      <c r="G36" s="72"/>
      <c r="H36" s="40" t="s">
        <v>121</v>
      </c>
      <c r="I36" s="78">
        <v>1</v>
      </c>
      <c r="J36" s="88">
        <f t="shared" si="1"/>
        <v>2100</v>
      </c>
      <c r="K36" s="88">
        <f>I36*J36</f>
        <v>2100</v>
      </c>
      <c r="L36" s="88">
        <f>J36-K36</f>
        <v>0</v>
      </c>
      <c r="M36" s="78">
        <f>$E$6</f>
        <v>0.01</v>
      </c>
      <c r="N36" s="88">
        <f>K36*(1+M36)</f>
        <v>2121</v>
      </c>
      <c r="O36" s="88">
        <f>L36</f>
        <v>0</v>
      </c>
      <c r="P36" s="88">
        <f t="shared" si="0"/>
        <v>2121</v>
      </c>
    </row>
    <row r="37" spans="1:16" x14ac:dyDescent="0.25">
      <c r="F37" s="56"/>
      <c r="G37" s="72"/>
      <c r="H37" s="40" t="s">
        <v>15</v>
      </c>
      <c r="I37" s="78">
        <v>0</v>
      </c>
      <c r="J37" s="94">
        <f t="shared" si="1"/>
        <v>2100</v>
      </c>
      <c r="K37" s="88">
        <f>I37*J37</f>
        <v>0</v>
      </c>
      <c r="L37" s="88">
        <f>J37-K37</f>
        <v>2100</v>
      </c>
      <c r="M37" s="78">
        <f>$E$8</f>
        <v>0</v>
      </c>
      <c r="N37" s="88">
        <f>K37*(1+M37)</f>
        <v>0</v>
      </c>
      <c r="O37" s="88">
        <f>L37*(1+M37)</f>
        <v>2100</v>
      </c>
      <c r="P37" s="94">
        <f>SUM(N37:O37)</f>
        <v>2100</v>
      </c>
    </row>
    <row r="38" spans="1:16" x14ac:dyDescent="0.25">
      <c r="F38" s="56"/>
      <c r="G38" s="72"/>
      <c r="H38" s="43" t="s">
        <v>119</v>
      </c>
      <c r="I38" s="78"/>
      <c r="J38" s="102">
        <f>SUM(J34:J37)</f>
        <v>21000</v>
      </c>
      <c r="K38" s="88"/>
      <c r="L38" s="88"/>
      <c r="M38" s="90"/>
      <c r="N38" s="89"/>
      <c r="O38" s="88"/>
      <c r="P38" s="102">
        <f>SUM(P34:P37)</f>
        <v>21189</v>
      </c>
    </row>
    <row r="39" spans="1:16" x14ac:dyDescent="0.25">
      <c r="F39" s="56"/>
      <c r="G39" s="72"/>
      <c r="H39" s="40"/>
      <c r="I39" s="78"/>
      <c r="J39" s="46"/>
      <c r="K39" s="46"/>
      <c r="L39" s="46"/>
      <c r="M39" s="80"/>
      <c r="N39" s="79"/>
      <c r="O39" s="40"/>
      <c r="P39" s="46"/>
    </row>
    <row r="40" spans="1:16" x14ac:dyDescent="0.25">
      <c r="F40" s="56"/>
      <c r="G40" s="72"/>
      <c r="H40" s="40"/>
      <c r="I40" s="78"/>
      <c r="J40" s="46"/>
      <c r="K40" s="46"/>
      <c r="L40" s="46"/>
      <c r="M40" s="80"/>
      <c r="N40" s="79"/>
      <c r="O40" s="40"/>
      <c r="P40" s="46"/>
    </row>
    <row r="41" spans="1:16" x14ac:dyDescent="0.25">
      <c r="F41" s="56"/>
      <c r="G41" s="72"/>
      <c r="H41" s="40"/>
      <c r="I41" s="78"/>
      <c r="J41" s="46"/>
      <c r="K41" s="46"/>
      <c r="L41" s="46"/>
      <c r="M41" s="80"/>
      <c r="N41" s="79"/>
      <c r="O41" s="40"/>
      <c r="P41" s="46"/>
    </row>
    <row r="42" spans="1:16" x14ac:dyDescent="0.25">
      <c r="A42" s="81" t="s">
        <v>86</v>
      </c>
      <c r="H42" s="82" t="s">
        <v>124</v>
      </c>
      <c r="I42" s="78"/>
      <c r="J42" s="46"/>
      <c r="K42" s="46"/>
      <c r="L42" s="46"/>
      <c r="M42" s="80"/>
      <c r="N42" s="79"/>
      <c r="O42" s="40"/>
      <c r="P42" s="46"/>
    </row>
    <row r="43" spans="1:16" x14ac:dyDescent="0.25">
      <c r="H43" s="71" t="s">
        <v>111</v>
      </c>
      <c r="I43" s="95" t="s">
        <v>112</v>
      </c>
      <c r="J43" s="95" t="s">
        <v>113</v>
      </c>
      <c r="K43" s="95" t="s">
        <v>114</v>
      </c>
      <c r="L43" s="95" t="s">
        <v>115</v>
      </c>
      <c r="M43" s="95" t="s">
        <v>122</v>
      </c>
      <c r="N43" s="95" t="s">
        <v>116</v>
      </c>
      <c r="O43" s="95" t="s">
        <v>117</v>
      </c>
      <c r="P43" s="95" t="s">
        <v>118</v>
      </c>
    </row>
    <row r="44" spans="1:16" x14ac:dyDescent="0.25">
      <c r="H44" s="40" t="s">
        <v>125</v>
      </c>
      <c r="I44" s="78">
        <v>0</v>
      </c>
      <c r="J44" s="88">
        <f>J8*E16</f>
        <v>7170100000</v>
      </c>
      <c r="K44" s="88">
        <f>I44*J44</f>
        <v>0</v>
      </c>
      <c r="L44" s="88">
        <f>J44-K44</f>
        <v>7170100000</v>
      </c>
      <c r="M44" s="78">
        <f>E9</f>
        <v>0.04</v>
      </c>
      <c r="N44" s="88">
        <f>K44*(1+M44)</f>
        <v>0</v>
      </c>
      <c r="O44" s="88">
        <f>L44*(1+M44)</f>
        <v>7456904000</v>
      </c>
      <c r="P44" s="88">
        <f>SUM(N44:O44)</f>
        <v>7456904000</v>
      </c>
    </row>
    <row r="45" spans="1:16" x14ac:dyDescent="0.25">
      <c r="H45" s="40" t="s">
        <v>126</v>
      </c>
      <c r="I45" s="78">
        <f>E17</f>
        <v>0.3</v>
      </c>
      <c r="J45" s="94">
        <f>J8*E17</f>
        <v>3072900000</v>
      </c>
      <c r="K45" s="88">
        <f>I45*J45</f>
        <v>921870000</v>
      </c>
      <c r="L45" s="88">
        <f>J45-K45</f>
        <v>2151030000</v>
      </c>
      <c r="M45" s="78">
        <f>E9</f>
        <v>0.04</v>
      </c>
      <c r="N45" s="88">
        <f>K45*(1+M45)</f>
        <v>958744800</v>
      </c>
      <c r="O45" s="88">
        <f>L45*(1+M45)</f>
        <v>2237071200</v>
      </c>
      <c r="P45" s="94">
        <f>SUM(N45:O45)</f>
        <v>3195816000</v>
      </c>
    </row>
    <row r="46" spans="1:16" x14ac:dyDescent="0.25">
      <c r="H46" s="40"/>
      <c r="I46" s="40"/>
      <c r="J46" s="102">
        <f>SUM(J44:J45)</f>
        <v>10243000000</v>
      </c>
      <c r="K46" s="102"/>
      <c r="L46" s="102"/>
      <c r="M46" s="102"/>
      <c r="N46" s="102"/>
      <c r="O46" s="102"/>
      <c r="P46" s="102">
        <f>SUM(P44:P45)</f>
        <v>10652720000</v>
      </c>
    </row>
    <row r="47" spans="1:16" x14ac:dyDescent="0.25">
      <c r="J47" s="67"/>
      <c r="K47" s="67"/>
      <c r="L47" s="67"/>
      <c r="M47" s="67"/>
      <c r="N47" s="67"/>
      <c r="O47" s="67"/>
      <c r="P47" s="67"/>
    </row>
  </sheetData>
  <mergeCells count="3">
    <mergeCell ref="A20:E20"/>
    <mergeCell ref="A21:E21"/>
    <mergeCell ref="H2:K2"/>
  </mergeCells>
  <hyperlinks>
    <hyperlink ref="A42" r:id="rId1"/>
  </hyperlinks>
  <pageMargins left="0.7" right="0.7" top="0.75" bottom="0.75" header="0.3" footer="0.3"/>
  <pageSetup scale="66" orientation="landscape" horizontalDpi="4294967293" verticalDpi="4294967293" r:id="rId2"/>
  <ignoredErrors>
    <ignoredError sqref="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0" zoomScaleNormal="70" workbookViewId="0">
      <selection activeCell="L8" sqref="L8"/>
    </sheetView>
  </sheetViews>
  <sheetFormatPr defaultRowHeight="18.75" x14ac:dyDescent="0.3"/>
  <cols>
    <col min="1" max="1" width="41.875" style="3" customWidth="1"/>
    <col min="2" max="2" width="18.75" style="3" customWidth="1"/>
    <col min="3" max="3" width="18.875" style="3" bestFit="1" customWidth="1"/>
    <col min="4" max="11" width="9" style="3"/>
    <col min="12" max="12" width="17" style="3" customWidth="1"/>
    <col min="13" max="16384" width="9" style="3"/>
  </cols>
  <sheetData>
    <row r="1" spans="1:12" x14ac:dyDescent="0.3">
      <c r="A1" s="1" t="s">
        <v>48</v>
      </c>
      <c r="B1" s="2"/>
      <c r="C1" s="2"/>
      <c r="F1" s="4" t="s">
        <v>56</v>
      </c>
      <c r="G1" s="4"/>
      <c r="H1" s="4"/>
      <c r="I1" s="4"/>
      <c r="J1" s="4"/>
    </row>
    <row r="2" spans="1:12" x14ac:dyDescent="0.3">
      <c r="A2" s="2"/>
    </row>
    <row r="4" spans="1:12" x14ac:dyDescent="0.3">
      <c r="A4" s="4" t="s">
        <v>0</v>
      </c>
      <c r="B4" s="5"/>
      <c r="C4" s="5">
        <f>Assumptions!J7</f>
        <v>135782000000</v>
      </c>
      <c r="F4" s="3" t="s">
        <v>49</v>
      </c>
      <c r="L4" s="5">
        <f>Assumptions!J7</f>
        <v>135782000000</v>
      </c>
    </row>
    <row r="5" spans="1:12" x14ac:dyDescent="0.3">
      <c r="A5" s="4" t="s">
        <v>1</v>
      </c>
      <c r="B5" s="5"/>
      <c r="C5" s="5"/>
      <c r="F5" s="3" t="s">
        <v>50</v>
      </c>
      <c r="L5" s="6">
        <f>B6</f>
        <v>123516000000</v>
      </c>
    </row>
    <row r="6" spans="1:12" x14ac:dyDescent="0.3">
      <c r="A6" s="3" t="s">
        <v>2</v>
      </c>
      <c r="B6" s="5">
        <f>Assumptions!J6</f>
        <v>123516000000</v>
      </c>
      <c r="C6" s="5"/>
      <c r="F6" s="3" t="s">
        <v>51</v>
      </c>
      <c r="L6" s="5">
        <f>L4-L5</f>
        <v>12266000000</v>
      </c>
    </row>
    <row r="7" spans="1:12" x14ac:dyDescent="0.3">
      <c r="A7" s="3" t="s">
        <v>3</v>
      </c>
      <c r="B7" s="6">
        <f>Assumptions!J8</f>
        <v>10243000000</v>
      </c>
      <c r="C7" s="7"/>
      <c r="F7" s="3" t="s">
        <v>52</v>
      </c>
      <c r="L7" s="6">
        <f>Assumptions!$J$8*Assumptions!E17</f>
        <v>3072900000</v>
      </c>
    </row>
    <row r="8" spans="1:12" x14ac:dyDescent="0.3">
      <c r="A8" s="8" t="s">
        <v>4</v>
      </c>
      <c r="B8" s="7"/>
      <c r="C8" s="6">
        <f>B6+B7</f>
        <v>133759000000</v>
      </c>
      <c r="F8" s="3" t="s">
        <v>25</v>
      </c>
      <c r="L8" s="5">
        <f>L6-L7</f>
        <v>9193100000</v>
      </c>
    </row>
    <row r="9" spans="1:12" x14ac:dyDescent="0.3">
      <c r="A9" s="3" t="s">
        <v>55</v>
      </c>
      <c r="B9" s="5"/>
      <c r="C9" s="5">
        <f>C4-C8</f>
        <v>2023000000</v>
      </c>
      <c r="F9" s="3" t="s">
        <v>53</v>
      </c>
      <c r="L9" s="6">
        <f>Assumptions!$J$8*Assumptions!E16</f>
        <v>7170100000</v>
      </c>
    </row>
    <row r="10" spans="1:12" x14ac:dyDescent="0.3">
      <c r="A10" s="3" t="s">
        <v>31</v>
      </c>
      <c r="B10" s="5"/>
      <c r="C10" s="5">
        <f>797*1000000</f>
        <v>797000000</v>
      </c>
      <c r="F10" s="3" t="s">
        <v>54</v>
      </c>
      <c r="L10" s="5">
        <f>L8-L9</f>
        <v>2023000000</v>
      </c>
    </row>
    <row r="11" spans="1:12" x14ac:dyDescent="0.3">
      <c r="A11" s="3" t="s">
        <v>32</v>
      </c>
      <c r="B11" s="5"/>
      <c r="C11" s="7">
        <f>76*1000000</f>
        <v>76000000</v>
      </c>
      <c r="F11" s="3" t="s">
        <v>31</v>
      </c>
      <c r="L11" s="5">
        <f>C10</f>
        <v>797000000</v>
      </c>
    </row>
    <row r="12" spans="1:12" x14ac:dyDescent="0.3">
      <c r="A12" s="3" t="s">
        <v>44</v>
      </c>
      <c r="B12" s="5"/>
      <c r="C12" s="6">
        <v>1246000000</v>
      </c>
      <c r="F12" s="3" t="s">
        <v>32</v>
      </c>
      <c r="L12" s="5">
        <f t="shared" ref="L12:L13" si="0">C11</f>
        <v>76000000</v>
      </c>
    </row>
    <row r="13" spans="1:12" x14ac:dyDescent="0.3">
      <c r="A13" s="4" t="s">
        <v>45</v>
      </c>
      <c r="B13" s="5"/>
      <c r="C13" s="5">
        <f>C9-C10+SUM(C11:C12)</f>
        <v>2548000000</v>
      </c>
      <c r="F13" s="3" t="s">
        <v>44</v>
      </c>
      <c r="L13" s="6">
        <f t="shared" si="0"/>
        <v>1246000000</v>
      </c>
    </row>
    <row r="14" spans="1:12" x14ac:dyDescent="0.3">
      <c r="B14" s="9"/>
      <c r="C14" s="9"/>
      <c r="F14" s="4" t="s">
        <v>45</v>
      </c>
      <c r="L14" s="5">
        <f>L10-L11+SUM(L12:L13)</f>
        <v>2548000000</v>
      </c>
    </row>
    <row r="15" spans="1:12" x14ac:dyDescent="0.3">
      <c r="L15" s="10"/>
    </row>
    <row r="17" spans="5:7" x14ac:dyDescent="0.3">
      <c r="G17" s="11"/>
    </row>
    <row r="18" spans="5:7" x14ac:dyDescent="0.3">
      <c r="G18" s="26"/>
    </row>
    <row r="19" spans="5:7" x14ac:dyDescent="0.3">
      <c r="E19" s="4"/>
      <c r="G19" s="37"/>
    </row>
    <row r="20" spans="5:7" x14ac:dyDescent="0.3">
      <c r="G20" s="1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70" zoomScaleNormal="70" workbookViewId="0">
      <selection activeCell="D8" sqref="D8"/>
    </sheetView>
  </sheetViews>
  <sheetFormatPr defaultRowHeight="18.75" x14ac:dyDescent="0.3"/>
  <cols>
    <col min="1" max="1" width="30" style="23" customWidth="1"/>
    <col min="2" max="2" width="14.875" style="23" customWidth="1"/>
    <col min="3" max="3" width="19" style="23" customWidth="1"/>
    <col min="4" max="4" width="19.125" style="23" customWidth="1"/>
    <col min="5" max="5" width="9" style="23"/>
    <col min="6" max="6" width="13.625" style="23" customWidth="1"/>
    <col min="7" max="7" width="48.375" style="23" customWidth="1"/>
    <col min="8" max="8" width="20" style="23" bestFit="1" customWidth="1"/>
    <col min="9" max="9" width="18.375" style="23" bestFit="1" customWidth="1"/>
    <col min="10" max="10" width="15.875" style="23" customWidth="1"/>
    <col min="11" max="11" width="24.375" style="23" bestFit="1" customWidth="1"/>
    <col min="12" max="12" width="21" style="23" bestFit="1" customWidth="1"/>
    <col min="13" max="13" width="9" style="23"/>
    <col min="14" max="14" width="12" style="23" bestFit="1" customWidth="1"/>
    <col min="15" max="16384" width="9" style="23"/>
  </cols>
  <sheetData>
    <row r="1" spans="1:25" x14ac:dyDescent="0.3">
      <c r="A1" s="110" t="s">
        <v>135</v>
      </c>
      <c r="B1" s="110"/>
      <c r="C1" s="110"/>
      <c r="D1" s="110"/>
      <c r="E1" s="110"/>
      <c r="F1" s="110"/>
      <c r="G1" s="110" t="s">
        <v>67</v>
      </c>
      <c r="H1" s="110"/>
      <c r="I1" s="110"/>
      <c r="J1" s="4" t="s">
        <v>64</v>
      </c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110"/>
      <c r="L2" s="110"/>
      <c r="M2" s="110"/>
      <c r="N2" s="110"/>
      <c r="O2" s="110"/>
      <c r="P2" s="110"/>
      <c r="Q2" s="3"/>
      <c r="R2" s="3"/>
      <c r="S2" s="3"/>
      <c r="T2" s="3"/>
      <c r="U2" s="3"/>
      <c r="V2" s="3"/>
      <c r="W2" s="3"/>
      <c r="X2" s="3"/>
      <c r="Y2" s="3"/>
    </row>
    <row r="3" spans="1:25" x14ac:dyDescent="0.3">
      <c r="A3" s="3"/>
      <c r="B3" s="12" t="s">
        <v>7</v>
      </c>
      <c r="C3" s="24" t="s">
        <v>8</v>
      </c>
      <c r="D3" s="24" t="s">
        <v>9</v>
      </c>
      <c r="E3" s="3"/>
      <c r="F3" s="3"/>
      <c r="G3" s="3" t="s">
        <v>63</v>
      </c>
      <c r="H3" s="5">
        <f>B4</f>
        <v>6953100.0000000009</v>
      </c>
      <c r="I3" s="3"/>
      <c r="J3" s="11" t="s">
        <v>65</v>
      </c>
      <c r="K3" s="3"/>
      <c r="L3" s="97">
        <f>Assumptions!P34*Assumptions!E23</f>
        <v>103232675700</v>
      </c>
      <c r="M3" s="3"/>
      <c r="N3" s="18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 t="s">
        <v>10</v>
      </c>
      <c r="B4" s="5">
        <f>Assumptions!E23</f>
        <v>6953100.0000000009</v>
      </c>
      <c r="C4" s="5">
        <f>Assumptions!E24</f>
        <v>21615.857753841279</v>
      </c>
      <c r="D4" s="104">
        <f>B4*C4</f>
        <v>150297220548.23383</v>
      </c>
      <c r="E4" s="3"/>
      <c r="F4" s="3"/>
      <c r="G4" s="3" t="s">
        <v>6</v>
      </c>
      <c r="H4" s="6">
        <f>Assumptions!E32</f>
        <v>375000</v>
      </c>
      <c r="I4" s="3"/>
      <c r="J4" s="18"/>
      <c r="K4" s="3"/>
      <c r="L4" s="26"/>
      <c r="M4" s="11"/>
      <c r="N4" s="1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8" t="s">
        <v>5</v>
      </c>
      <c r="B5" s="21"/>
      <c r="C5" s="21"/>
      <c r="D5" s="105">
        <f>D4</f>
        <v>150297220548.23383</v>
      </c>
      <c r="E5" s="3"/>
      <c r="F5" s="3"/>
      <c r="G5" s="3" t="s">
        <v>11</v>
      </c>
      <c r="H5" s="7">
        <f>SUM(H3:H4)</f>
        <v>7328100.0000000009</v>
      </c>
      <c r="I5" s="3"/>
      <c r="J5" s="3"/>
      <c r="K5" s="4"/>
      <c r="L5" s="28"/>
      <c r="M5" s="15"/>
      <c r="N5" s="29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/>
      <c r="B6" s="3"/>
      <c r="C6" s="3"/>
      <c r="D6" s="3"/>
      <c r="E6" s="3"/>
      <c r="F6" s="3"/>
      <c r="G6" s="3" t="s">
        <v>12</v>
      </c>
      <c r="H6" s="6">
        <f>Assumptions!E34</f>
        <v>375000</v>
      </c>
      <c r="I6" s="3"/>
      <c r="J6" s="3"/>
      <c r="K6" s="8"/>
      <c r="L6" s="3"/>
      <c r="M6" s="3"/>
      <c r="N6" s="18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3"/>
      <c r="E7" s="3"/>
      <c r="F7" s="3"/>
      <c r="G7" s="19" t="s">
        <v>13</v>
      </c>
      <c r="H7" s="100">
        <f>H5-H6</f>
        <v>6953100.0000000009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3"/>
      <c r="E8" s="3"/>
      <c r="F8" s="3"/>
      <c r="G8" s="3"/>
      <c r="H8" s="3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3"/>
      <c r="E9" s="3"/>
      <c r="F9" s="3"/>
      <c r="G9" s="3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4" t="s">
        <v>134</v>
      </c>
      <c r="B10" s="3"/>
      <c r="C10" s="3"/>
      <c r="D10" s="3"/>
      <c r="E10" s="3"/>
      <c r="F10" s="3"/>
      <c r="G10" s="4" t="s">
        <v>68</v>
      </c>
      <c r="H10" s="9"/>
      <c r="I10" s="3"/>
      <c r="J10" s="4" t="s">
        <v>70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3"/>
      <c r="E11" s="3"/>
      <c r="F11" s="3"/>
      <c r="G11" s="3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91</v>
      </c>
      <c r="B12" s="9"/>
      <c r="C12" s="5">
        <f>Assumptions!P35*Assumptions!E23</f>
        <v>14747525100.000002</v>
      </c>
      <c r="D12" s="3"/>
      <c r="E12" s="3"/>
      <c r="F12" s="3"/>
      <c r="G12" s="3" t="s">
        <v>14</v>
      </c>
      <c r="H12" s="9">
        <f>Assumptions!P36*Assumptions!E23</f>
        <v>14747525100.000002</v>
      </c>
      <c r="I12" s="3"/>
      <c r="J12" s="3" t="s">
        <v>71</v>
      </c>
      <c r="K12" s="5">
        <f>Assumptions!E27</f>
        <v>3195816000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3"/>
      <c r="E13" s="3"/>
      <c r="F13" s="3"/>
      <c r="G13" s="3" t="s">
        <v>69</v>
      </c>
      <c r="H13" s="25">
        <f>Assumptions!P37*Assumptions!E23</f>
        <v>14601510000.000002</v>
      </c>
      <c r="I13" s="3"/>
      <c r="J13" s="3" t="s">
        <v>72</v>
      </c>
      <c r="K13" s="6">
        <f>Assumptions!E28</f>
        <v>7456904000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3"/>
      <c r="E14" s="3"/>
      <c r="F14" s="3"/>
      <c r="G14" s="19" t="s">
        <v>16</v>
      </c>
      <c r="H14" s="99">
        <f>SUM(H12:H13)</f>
        <v>29349035100.000004</v>
      </c>
      <c r="I14" s="3"/>
      <c r="J14" s="19" t="s">
        <v>5</v>
      </c>
      <c r="K14" s="20">
        <f>SUM(K12:K13)</f>
        <v>10652720000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110" t="s">
        <v>88</v>
      </c>
      <c r="B16" s="111"/>
      <c r="C16" s="111"/>
      <c r="D16" s="1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17" x14ac:dyDescent="0.3">
      <c r="A17" s="3"/>
      <c r="B17" s="3"/>
      <c r="C17" s="3"/>
      <c r="D17" s="3"/>
      <c r="E17" s="3"/>
      <c r="F17" s="3"/>
      <c r="G17" s="110" t="s">
        <v>89</v>
      </c>
      <c r="H17" s="110"/>
      <c r="I17" s="110"/>
      <c r="J17" s="110"/>
      <c r="K17" s="3"/>
      <c r="L17" s="3"/>
      <c r="M17" s="3"/>
      <c r="N17" s="3"/>
      <c r="O17" s="3"/>
      <c r="P17" s="3"/>
      <c r="Q17" s="3"/>
    </row>
    <row r="18" spans="1:17" x14ac:dyDescent="0.3">
      <c r="A18" s="3" t="s">
        <v>73</v>
      </c>
      <c r="B18" s="3"/>
      <c r="C18" s="5">
        <f>$L$3</f>
        <v>103232675700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 t="s">
        <v>58</v>
      </c>
      <c r="B19" s="3"/>
      <c r="C19" s="5">
        <f>$C$12</f>
        <v>14747525100.000002</v>
      </c>
      <c r="D19" s="3"/>
      <c r="E19" s="3"/>
      <c r="F19" s="3"/>
      <c r="G19" s="3" t="s">
        <v>75</v>
      </c>
      <c r="H19" s="5"/>
      <c r="I19" s="5">
        <f>D5</f>
        <v>150297220548.23383</v>
      </c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 t="s">
        <v>59</v>
      </c>
      <c r="B20" s="3"/>
      <c r="C20" s="6">
        <f>$H$14</f>
        <v>29349035100.000004</v>
      </c>
      <c r="D20" s="3"/>
      <c r="E20" s="11"/>
      <c r="F20" s="3"/>
      <c r="G20" s="31" t="s">
        <v>76</v>
      </c>
      <c r="H20" s="5">
        <f>L3+C12+H12</f>
        <v>132727725900</v>
      </c>
      <c r="I20" s="5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 t="s">
        <v>60</v>
      </c>
      <c r="B21" s="3"/>
      <c r="C21" s="5">
        <f>SUM(C18:C20)</f>
        <v>147329235900</v>
      </c>
      <c r="D21" s="3"/>
      <c r="E21" s="34"/>
      <c r="F21" s="3"/>
      <c r="G21" s="31" t="s">
        <v>23</v>
      </c>
      <c r="H21" s="6">
        <f>K12</f>
        <v>3195816000</v>
      </c>
      <c r="I21" s="5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 t="s">
        <v>61</v>
      </c>
      <c r="B22" s="3"/>
      <c r="C22" s="5">
        <f>Assumptions!E31</f>
        <v>7866000</v>
      </c>
      <c r="D22" s="3"/>
      <c r="E22" s="35"/>
      <c r="F22" s="3"/>
      <c r="G22" s="3" t="s">
        <v>24</v>
      </c>
      <c r="H22" s="5"/>
      <c r="I22" s="6">
        <f>SUM(H20:H21)</f>
        <v>135923541900</v>
      </c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 t="s">
        <v>74</v>
      </c>
      <c r="B23" s="3"/>
      <c r="C23" s="6">
        <f>Assumptions!E33</f>
        <v>7866000</v>
      </c>
      <c r="D23" s="3"/>
      <c r="E23" s="11"/>
      <c r="F23" s="3"/>
      <c r="G23" s="3" t="s">
        <v>25</v>
      </c>
      <c r="I23" s="5">
        <f>I19-I22</f>
        <v>14373678648.233826</v>
      </c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19" t="s">
        <v>57</v>
      </c>
      <c r="B24" s="19"/>
      <c r="C24" s="20">
        <f>C21+C22-C23</f>
        <v>147329235900</v>
      </c>
      <c r="D24" s="3"/>
      <c r="E24" s="11"/>
      <c r="F24" s="3"/>
      <c r="G24" s="31" t="s">
        <v>26</v>
      </c>
      <c r="H24" s="5">
        <f>H13</f>
        <v>14601510000.000002</v>
      </c>
      <c r="I24" s="5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1" t="s">
        <v>27</v>
      </c>
      <c r="H25" s="6">
        <f>K13</f>
        <v>7456904000</v>
      </c>
      <c r="I25" s="5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1" t="s">
        <v>28</v>
      </c>
      <c r="H26" s="5"/>
      <c r="I26" s="6">
        <f>SUM(H24:H25)</f>
        <v>22058414000</v>
      </c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8" t="s">
        <v>29</v>
      </c>
      <c r="H27" s="5"/>
      <c r="I27" s="98">
        <f>I23-I26</f>
        <v>-7684735351.7661743</v>
      </c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10"/>
      <c r="I28" s="21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mergeCells count="5">
    <mergeCell ref="A1:F1"/>
    <mergeCell ref="K2:P2"/>
    <mergeCell ref="G1:I1"/>
    <mergeCell ref="A16:D16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0" zoomScaleNormal="70" workbookViewId="0">
      <selection activeCell="B5" sqref="B5"/>
    </sheetView>
  </sheetViews>
  <sheetFormatPr defaultColWidth="9.125" defaultRowHeight="18.75" x14ac:dyDescent="0.3"/>
  <cols>
    <col min="1" max="1" width="43.125" style="3" customWidth="1"/>
    <col min="2" max="2" width="20.75" style="3" customWidth="1"/>
    <col min="3" max="3" width="17.125" style="3" customWidth="1"/>
    <col min="4" max="4" width="20.875" style="3" customWidth="1"/>
    <col min="5" max="5" width="9.125" style="3"/>
    <col min="6" max="6" width="12.875" style="3" customWidth="1"/>
    <col min="7" max="7" width="49.625" style="3" bestFit="1" customWidth="1"/>
    <col min="8" max="8" width="20.875" style="3" bestFit="1" customWidth="1"/>
    <col min="9" max="9" width="21.375" style="3" customWidth="1"/>
    <col min="10" max="11" width="9.125" style="3"/>
    <col min="12" max="12" width="18.25" style="3" bestFit="1" customWidth="1"/>
    <col min="13" max="13" width="9.125" style="3"/>
    <col min="14" max="14" width="18.25" style="3" bestFit="1" customWidth="1"/>
    <col min="15" max="16384" width="9.125" style="3"/>
  </cols>
  <sheetData>
    <row r="1" spans="1:16" x14ac:dyDescent="0.3">
      <c r="A1" s="110" t="s">
        <v>136</v>
      </c>
      <c r="B1" s="110"/>
      <c r="C1" s="110"/>
      <c r="D1" s="110"/>
      <c r="E1" s="110"/>
      <c r="F1" s="110"/>
      <c r="G1" s="110" t="s">
        <v>67</v>
      </c>
      <c r="H1" s="110"/>
      <c r="I1" s="110"/>
      <c r="J1" s="4" t="s">
        <v>64</v>
      </c>
      <c r="K1" s="4"/>
      <c r="L1" s="4"/>
    </row>
    <row r="2" spans="1:16" x14ac:dyDescent="0.3">
      <c r="K2" s="110"/>
      <c r="L2" s="110"/>
      <c r="M2" s="110"/>
      <c r="N2" s="110"/>
      <c r="O2" s="110"/>
      <c r="P2" s="110"/>
    </row>
    <row r="3" spans="1:16" x14ac:dyDescent="0.3">
      <c r="B3" s="116" t="s">
        <v>138</v>
      </c>
      <c r="C3" s="24" t="s">
        <v>8</v>
      </c>
      <c r="D3" s="24" t="s">
        <v>9</v>
      </c>
      <c r="G3" s="3" t="s">
        <v>63</v>
      </c>
      <c r="H3" s="9">
        <f>B4</f>
        <v>6674000</v>
      </c>
      <c r="J3" s="11" t="s">
        <v>65</v>
      </c>
      <c r="N3" s="9">
        <f>Assumptions!P34*$B$4</f>
        <v>99088877999.999985</v>
      </c>
    </row>
    <row r="4" spans="1:16" x14ac:dyDescent="0.3">
      <c r="A4" s="3" t="s">
        <v>10</v>
      </c>
      <c r="B4" s="117">
        <v>6674000</v>
      </c>
      <c r="C4" s="103">
        <f>Assumptions!E24</f>
        <v>21615.857753841279</v>
      </c>
      <c r="D4" s="104">
        <f>B4*C4</f>
        <v>144264234649.13669</v>
      </c>
      <c r="G4" s="3" t="s">
        <v>6</v>
      </c>
      <c r="H4" s="25">
        <f>Assumptions!E32</f>
        <v>375000</v>
      </c>
      <c r="J4" s="18"/>
      <c r="L4" s="26"/>
      <c r="M4" s="11"/>
      <c r="N4" s="11"/>
    </row>
    <row r="5" spans="1:16" x14ac:dyDescent="0.3">
      <c r="A5" s="8" t="s">
        <v>5</v>
      </c>
      <c r="B5" s="105"/>
      <c r="C5" s="106"/>
      <c r="D5" s="106">
        <f>D4</f>
        <v>144264234649.13669</v>
      </c>
      <c r="G5" s="3" t="s">
        <v>11</v>
      </c>
      <c r="H5" s="27">
        <f>H3+H4</f>
        <v>7049000</v>
      </c>
      <c r="K5" s="4"/>
      <c r="L5" s="28"/>
      <c r="M5" s="15"/>
      <c r="N5" s="29"/>
    </row>
    <row r="6" spans="1:16" x14ac:dyDescent="0.3">
      <c r="G6" s="3" t="s">
        <v>12</v>
      </c>
      <c r="H6" s="9">
        <f>Assumptions!E34</f>
        <v>375000</v>
      </c>
      <c r="K6" s="8"/>
      <c r="N6" s="18"/>
    </row>
    <row r="7" spans="1:16" x14ac:dyDescent="0.3">
      <c r="G7" s="3" t="s">
        <v>13</v>
      </c>
      <c r="H7" s="30">
        <f>H5-H6</f>
        <v>6674000</v>
      </c>
    </row>
    <row r="8" spans="1:16" x14ac:dyDescent="0.3">
      <c r="H8" s="30"/>
    </row>
    <row r="9" spans="1:16" x14ac:dyDescent="0.3">
      <c r="H9" s="9"/>
    </row>
    <row r="10" spans="1:16" x14ac:dyDescent="0.3">
      <c r="A10" s="4" t="s">
        <v>134</v>
      </c>
      <c r="G10" s="4" t="s">
        <v>68</v>
      </c>
      <c r="H10" s="9"/>
      <c r="J10" s="4" t="s">
        <v>137</v>
      </c>
    </row>
    <row r="11" spans="1:16" x14ac:dyDescent="0.3">
      <c r="H11" s="112"/>
    </row>
    <row r="12" spans="1:16" x14ac:dyDescent="0.3">
      <c r="A12" s="3" t="s">
        <v>66</v>
      </c>
      <c r="B12" s="112">
        <f>Assumptions!P35*$B$4</f>
        <v>14155554000</v>
      </c>
      <c r="C12" s="18"/>
      <c r="G12" s="3" t="s">
        <v>14</v>
      </c>
      <c r="H12" s="112">
        <f>Assumptions!P36*$B$4</f>
        <v>14155554000</v>
      </c>
      <c r="J12" s="3" t="s">
        <v>71</v>
      </c>
      <c r="K12" s="18"/>
      <c r="L12" s="9">
        <f>Assumptions!E27</f>
        <v>3195816000</v>
      </c>
    </row>
    <row r="13" spans="1:16" x14ac:dyDescent="0.3">
      <c r="G13" s="3" t="s">
        <v>69</v>
      </c>
      <c r="H13" s="113">
        <f>Assumptions!P37*Assumptions!E23</f>
        <v>14601510000.000002</v>
      </c>
      <c r="J13" s="3" t="s">
        <v>72</v>
      </c>
      <c r="K13" s="32"/>
      <c r="L13" s="25">
        <f>Assumptions!E28</f>
        <v>7456904000</v>
      </c>
    </row>
    <row r="14" spans="1:16" x14ac:dyDescent="0.3">
      <c r="G14" s="3" t="s">
        <v>16</v>
      </c>
      <c r="H14" s="112">
        <f>H12+H13</f>
        <v>28757064000</v>
      </c>
      <c r="J14" s="3" t="s">
        <v>5</v>
      </c>
      <c r="K14" s="18"/>
      <c r="L14" s="9">
        <f>SUM(L12:L13)</f>
        <v>10652720000</v>
      </c>
    </row>
    <row r="15" spans="1:16" x14ac:dyDescent="0.3">
      <c r="H15" s="9"/>
    </row>
    <row r="16" spans="1:16" x14ac:dyDescent="0.3">
      <c r="A16" s="110" t="s">
        <v>88</v>
      </c>
      <c r="B16" s="111"/>
      <c r="C16" s="111"/>
      <c r="D16" s="111"/>
      <c r="H16" s="9"/>
    </row>
    <row r="17" spans="1:10" x14ac:dyDescent="0.3">
      <c r="G17" s="110" t="s">
        <v>90</v>
      </c>
      <c r="H17" s="110"/>
      <c r="I17" s="110"/>
      <c r="J17" s="110"/>
    </row>
    <row r="18" spans="1:10" x14ac:dyDescent="0.3">
      <c r="A18" s="3" t="s">
        <v>73</v>
      </c>
      <c r="B18" s="5">
        <f>$N$3</f>
        <v>99088877999.999985</v>
      </c>
      <c r="C18" s="29"/>
      <c r="D18" s="11"/>
      <c r="E18" s="11"/>
    </row>
    <row r="19" spans="1:10" x14ac:dyDescent="0.3">
      <c r="A19" s="3" t="s">
        <v>58</v>
      </c>
      <c r="B19" s="5">
        <f>$B$12</f>
        <v>14155554000</v>
      </c>
      <c r="C19" s="29"/>
      <c r="D19" s="11"/>
      <c r="E19" s="11"/>
      <c r="G19" s="3" t="s">
        <v>75</v>
      </c>
      <c r="H19" s="5"/>
      <c r="I19" s="5">
        <f>D5</f>
        <v>144264234649.13669</v>
      </c>
    </row>
    <row r="20" spans="1:10" x14ac:dyDescent="0.3">
      <c r="A20" s="3" t="s">
        <v>59</v>
      </c>
      <c r="B20" s="6">
        <f>$H$14</f>
        <v>28757064000</v>
      </c>
      <c r="C20" s="33"/>
      <c r="D20" s="11"/>
      <c r="E20" s="11"/>
      <c r="G20" s="31" t="s">
        <v>76</v>
      </c>
      <c r="H20" s="5">
        <f>N3+B12+H12</f>
        <v>127399985999.99998</v>
      </c>
      <c r="I20" s="5"/>
    </row>
    <row r="21" spans="1:10" x14ac:dyDescent="0.3">
      <c r="A21" s="3" t="s">
        <v>60</v>
      </c>
      <c r="B21" s="5">
        <f>SUM(B18:B20)</f>
        <v>142001496000</v>
      </c>
      <c r="C21" s="29"/>
      <c r="D21" s="11"/>
      <c r="E21" s="34"/>
      <c r="G21" s="31" t="s">
        <v>23</v>
      </c>
      <c r="H21" s="6">
        <f>L12</f>
        <v>3195816000</v>
      </c>
      <c r="I21" s="5"/>
    </row>
    <row r="22" spans="1:10" x14ac:dyDescent="0.3">
      <c r="A22" s="3" t="s">
        <v>61</v>
      </c>
      <c r="B22" s="5">
        <f>Assumptions!E31</f>
        <v>7866000</v>
      </c>
      <c r="C22" s="11"/>
      <c r="D22" s="11"/>
      <c r="E22" s="35"/>
      <c r="G22" s="3" t="s">
        <v>24</v>
      </c>
      <c r="H22" s="5"/>
      <c r="I22" s="6">
        <f>SUM(H20:H21)</f>
        <v>130595801999.99998</v>
      </c>
    </row>
    <row r="23" spans="1:10" x14ac:dyDescent="0.3">
      <c r="A23" s="3" t="s">
        <v>74</v>
      </c>
      <c r="B23" s="6">
        <f>Assumptions!E33</f>
        <v>7866000</v>
      </c>
      <c r="C23" s="11"/>
      <c r="D23" s="11"/>
      <c r="E23" s="11"/>
      <c r="G23" s="3" t="s">
        <v>25</v>
      </c>
      <c r="H23" s="23"/>
      <c r="I23" s="5">
        <f>I19-I22</f>
        <v>13668432649.136703</v>
      </c>
    </row>
    <row r="24" spans="1:10" x14ac:dyDescent="0.3">
      <c r="A24" s="3" t="s">
        <v>57</v>
      </c>
      <c r="B24" s="20">
        <f>B21+B22-B23</f>
        <v>142001496000</v>
      </c>
      <c r="C24" s="29"/>
      <c r="D24" s="11"/>
      <c r="E24" s="11"/>
      <c r="G24" s="31" t="s">
        <v>26</v>
      </c>
      <c r="H24" s="5">
        <f>H13</f>
        <v>14601510000.000002</v>
      </c>
      <c r="I24" s="5"/>
    </row>
    <row r="25" spans="1:10" x14ac:dyDescent="0.3">
      <c r="C25" s="11"/>
      <c r="D25" s="11"/>
      <c r="E25" s="11"/>
      <c r="G25" s="31" t="s">
        <v>27</v>
      </c>
      <c r="H25" s="6">
        <f>L13</f>
        <v>7456904000</v>
      </c>
      <c r="I25" s="5"/>
    </row>
    <row r="26" spans="1:10" x14ac:dyDescent="0.3">
      <c r="G26" s="31" t="s">
        <v>28</v>
      </c>
      <c r="H26" s="5"/>
      <c r="I26" s="6">
        <f>SUM(H24:H25)</f>
        <v>22058414000</v>
      </c>
    </row>
    <row r="27" spans="1:10" x14ac:dyDescent="0.3">
      <c r="G27" s="8" t="s">
        <v>29</v>
      </c>
      <c r="H27" s="5"/>
      <c r="I27" s="98">
        <f>I23-I26</f>
        <v>-8389981350.8632965</v>
      </c>
    </row>
    <row r="28" spans="1:10" x14ac:dyDescent="0.3">
      <c r="I28" s="11"/>
    </row>
  </sheetData>
  <mergeCells count="5">
    <mergeCell ref="G17:J17"/>
    <mergeCell ref="A1:F1"/>
    <mergeCell ref="G1:I1"/>
    <mergeCell ref="K2:P2"/>
    <mergeCell ref="A16:D16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J18" sqref="J18"/>
    </sheetView>
  </sheetViews>
  <sheetFormatPr defaultColWidth="19.25" defaultRowHeight="18.75" x14ac:dyDescent="0.3"/>
  <cols>
    <col min="1" max="1" width="48.125" style="3" customWidth="1"/>
    <col min="2" max="5" width="19.25" style="3"/>
    <col min="6" max="6" width="22.375" style="3" customWidth="1"/>
    <col min="7" max="10" width="19.25" style="3"/>
    <col min="11" max="11" width="24.375" style="3" customWidth="1"/>
    <col min="12" max="16384" width="19.25" style="3"/>
  </cols>
  <sheetData>
    <row r="1" spans="1:11" x14ac:dyDescent="0.3">
      <c r="A1" s="13"/>
      <c r="B1" s="13"/>
      <c r="C1" s="13" t="s">
        <v>78</v>
      </c>
      <c r="D1" s="13"/>
      <c r="E1" s="110" t="s">
        <v>77</v>
      </c>
      <c r="F1" s="110"/>
      <c r="H1" s="110" t="s">
        <v>85</v>
      </c>
      <c r="I1" s="110"/>
      <c r="J1" s="110"/>
      <c r="K1" s="110"/>
    </row>
    <row r="2" spans="1:11" x14ac:dyDescent="0.3">
      <c r="I2" s="13" t="s">
        <v>93</v>
      </c>
      <c r="J2" s="13" t="s">
        <v>94</v>
      </c>
      <c r="K2" s="19"/>
    </row>
    <row r="3" spans="1:11" x14ac:dyDescent="0.3">
      <c r="A3" s="3" t="s">
        <v>49</v>
      </c>
      <c r="C3" s="5">
        <f>MasterBudget!D4</f>
        <v>150297220548.23383</v>
      </c>
      <c r="D3" s="5"/>
      <c r="F3" s="5">
        <f>FlexibleBudget!D4</f>
        <v>144264234649.13669</v>
      </c>
      <c r="G3" s="5"/>
      <c r="H3" s="5"/>
      <c r="I3" s="5">
        <f>F3-C3</f>
        <v>-6032985899.0971375</v>
      </c>
      <c r="J3" s="114">
        <f>I3/F3</f>
        <v>-4.1818999100989164E-2</v>
      </c>
      <c r="K3" s="115"/>
    </row>
    <row r="4" spans="1:11" x14ac:dyDescent="0.3">
      <c r="A4" s="31" t="s">
        <v>76</v>
      </c>
      <c r="B4" s="5">
        <f>MasterBudget!C18+MasterBudget!C19+MasterBudget!H12</f>
        <v>132727725900</v>
      </c>
      <c r="C4" s="5"/>
      <c r="D4" s="5"/>
      <c r="E4" s="5">
        <f>FlexibleBudget!H20</f>
        <v>127399985999.99998</v>
      </c>
      <c r="F4" s="10"/>
      <c r="G4" s="5"/>
      <c r="H4" s="5"/>
      <c r="I4" s="5">
        <f>B4-E4</f>
        <v>5327739900.0000153</v>
      </c>
      <c r="J4" s="114">
        <f t="shared" ref="J4:J9" si="0">I4/E4</f>
        <v>4.1818999100989039E-2</v>
      </c>
      <c r="K4" s="115"/>
    </row>
    <row r="5" spans="1:11" x14ac:dyDescent="0.3">
      <c r="A5" s="31" t="s">
        <v>23</v>
      </c>
      <c r="B5" s="6">
        <f>MasterBudget!H21</f>
        <v>3195816000</v>
      </c>
      <c r="C5" s="5"/>
      <c r="D5" s="5"/>
      <c r="E5" s="6">
        <f>FlexibleBudget!H21</f>
        <v>3195816000</v>
      </c>
      <c r="F5" s="10"/>
      <c r="G5" s="5"/>
      <c r="H5" s="5"/>
      <c r="I5" s="7">
        <f>B5-E5</f>
        <v>0</v>
      </c>
      <c r="J5" s="114">
        <f t="shared" si="0"/>
        <v>0</v>
      </c>
      <c r="K5" s="115"/>
    </row>
    <row r="6" spans="1:11" x14ac:dyDescent="0.3">
      <c r="A6" s="3" t="s">
        <v>79</v>
      </c>
      <c r="B6" s="5"/>
      <c r="C6" s="6">
        <f>SUM(B4:B5)</f>
        <v>135923541900</v>
      </c>
      <c r="D6" s="5"/>
      <c r="E6" s="5"/>
      <c r="F6" s="6">
        <f>E4+E5</f>
        <v>130595801999.99998</v>
      </c>
      <c r="G6" s="5"/>
      <c r="H6" s="5"/>
      <c r="I6" s="5">
        <f>C6-F6</f>
        <v>5327739900.0000153</v>
      </c>
      <c r="J6" s="114">
        <f>I6/C6</f>
        <v>3.9196594096405128E-2</v>
      </c>
      <c r="K6" s="115"/>
    </row>
    <row r="7" spans="1:11" x14ac:dyDescent="0.3">
      <c r="A7" s="3" t="s">
        <v>25</v>
      </c>
      <c r="B7" s="5"/>
      <c r="C7" s="5">
        <f>C3-C6</f>
        <v>14373678648.233826</v>
      </c>
      <c r="D7" s="5"/>
      <c r="E7" s="5"/>
      <c r="F7" s="5">
        <f>+F3-F6</f>
        <v>13668432649.136703</v>
      </c>
      <c r="G7" s="5"/>
      <c r="H7" s="5"/>
      <c r="I7" s="5">
        <f>F7-C7</f>
        <v>-705245999.09712219</v>
      </c>
      <c r="J7" s="114">
        <f>I7/C7</f>
        <v>-4.9065101311679855E-2</v>
      </c>
      <c r="K7" s="115"/>
    </row>
    <row r="8" spans="1:11" x14ac:dyDescent="0.3">
      <c r="A8" s="31" t="s">
        <v>26</v>
      </c>
      <c r="B8" s="5">
        <f>MasterBudget!H24</f>
        <v>14601510000.000002</v>
      </c>
      <c r="C8" s="5"/>
      <c r="D8" s="5"/>
      <c r="E8" s="5">
        <f>FlexibleBudget!H24</f>
        <v>14601510000.000002</v>
      </c>
      <c r="F8" s="10"/>
      <c r="G8" s="5"/>
      <c r="H8" s="5"/>
      <c r="I8" s="5">
        <f>B8-E8</f>
        <v>0</v>
      </c>
      <c r="J8" s="114">
        <f t="shared" si="0"/>
        <v>0</v>
      </c>
      <c r="K8" s="115"/>
    </row>
    <row r="9" spans="1:11" x14ac:dyDescent="0.3">
      <c r="A9" s="31" t="s">
        <v>27</v>
      </c>
      <c r="B9" s="6">
        <f>MasterBudget!H25</f>
        <v>7456904000</v>
      </c>
      <c r="C9" s="5"/>
      <c r="D9" s="5"/>
      <c r="E9" s="6">
        <f>FlexibleBudget!H25</f>
        <v>7456904000</v>
      </c>
      <c r="F9" s="10"/>
      <c r="G9" s="5"/>
      <c r="H9" s="5"/>
      <c r="I9" s="5">
        <f>B9-E9</f>
        <v>0</v>
      </c>
      <c r="J9" s="114">
        <f t="shared" si="0"/>
        <v>0</v>
      </c>
      <c r="K9" s="115"/>
    </row>
    <row r="10" spans="1:11" x14ac:dyDescent="0.3">
      <c r="A10" s="17" t="s">
        <v>28</v>
      </c>
      <c r="B10" s="7"/>
      <c r="C10" s="6">
        <f>B8+B9</f>
        <v>22058414000</v>
      </c>
      <c r="D10" s="5"/>
      <c r="E10" s="5"/>
      <c r="F10" s="6">
        <f>E8+E9</f>
        <v>22058414000</v>
      </c>
      <c r="G10" s="5"/>
      <c r="H10" s="5"/>
      <c r="I10" s="5">
        <f>C10-F10</f>
        <v>0</v>
      </c>
      <c r="J10" s="114">
        <f>I10/C10</f>
        <v>0</v>
      </c>
      <c r="K10" s="115"/>
    </row>
    <row r="11" spans="1:11" x14ac:dyDescent="0.3">
      <c r="A11" s="31" t="s">
        <v>29</v>
      </c>
      <c r="B11" s="5"/>
      <c r="C11" s="7">
        <f>C7-C10</f>
        <v>-7684735351.7661743</v>
      </c>
      <c r="D11" s="5"/>
      <c r="E11" s="5"/>
      <c r="F11" s="5">
        <f>F7-F10</f>
        <v>-8389981350.8632965</v>
      </c>
      <c r="G11" s="5"/>
      <c r="H11" s="5"/>
      <c r="I11" s="5">
        <f>F11-C11</f>
        <v>-705245999.09712219</v>
      </c>
      <c r="J11" s="114">
        <f>I11/C11</f>
        <v>9.1772320947270655E-2</v>
      </c>
      <c r="K11" s="115"/>
    </row>
    <row r="12" spans="1:11" x14ac:dyDescent="0.3">
      <c r="A12" s="8"/>
      <c r="B12" s="9"/>
      <c r="C12" s="9"/>
      <c r="D12" s="9"/>
      <c r="E12" s="9"/>
      <c r="F12" s="9"/>
      <c r="G12" s="9"/>
      <c r="H12" s="9"/>
      <c r="I12" s="9"/>
    </row>
    <row r="14" spans="1:11" x14ac:dyDescent="0.3">
      <c r="A14" s="110" t="s">
        <v>84</v>
      </c>
      <c r="B14" s="110"/>
      <c r="C14" s="110"/>
      <c r="D14" s="110"/>
      <c r="E14" s="110"/>
    </row>
    <row r="16" spans="1:11" x14ac:dyDescent="0.3">
      <c r="B16" s="4" t="s">
        <v>78</v>
      </c>
      <c r="C16" s="4" t="s">
        <v>80</v>
      </c>
      <c r="D16" s="13" t="s">
        <v>81</v>
      </c>
      <c r="E16" s="13" t="s">
        <v>92</v>
      </c>
      <c r="F16" s="19"/>
    </row>
    <row r="17" spans="1:6" x14ac:dyDescent="0.3">
      <c r="A17" s="3" t="s">
        <v>49</v>
      </c>
      <c r="B17" s="5">
        <f>MasterBudget!D4</f>
        <v>150297220548.23383</v>
      </c>
      <c r="C17" s="5">
        <v>140566000000</v>
      </c>
      <c r="D17" s="5">
        <f>C17-B17</f>
        <v>-9731220548.2338257</v>
      </c>
      <c r="E17" s="14">
        <f>D17/B17</f>
        <v>-6.4746510366177096E-2</v>
      </c>
      <c r="F17" s="115"/>
    </row>
    <row r="18" spans="1:6" x14ac:dyDescent="0.3">
      <c r="A18" s="3" t="s">
        <v>82</v>
      </c>
      <c r="B18" s="5"/>
      <c r="C18" s="5"/>
      <c r="D18" s="5"/>
      <c r="E18" s="14"/>
      <c r="F18" s="115"/>
    </row>
    <row r="19" spans="1:6" x14ac:dyDescent="0.3">
      <c r="A19" s="3" t="s">
        <v>2</v>
      </c>
      <c r="B19" s="7">
        <f>MasterBudget!C21</f>
        <v>147329235900</v>
      </c>
      <c r="C19" s="5">
        <v>124041000000</v>
      </c>
      <c r="D19" s="5">
        <f>B19-C19</f>
        <v>23288235900</v>
      </c>
      <c r="E19" s="14">
        <f t="shared" ref="E19:E22" si="1">D19/B19</f>
        <v>0.15806934555614566</v>
      </c>
      <c r="F19" s="115"/>
    </row>
    <row r="20" spans="1:6" x14ac:dyDescent="0.3">
      <c r="A20" s="3" t="s">
        <v>3</v>
      </c>
      <c r="B20" s="6">
        <f>MasterBudget!K14</f>
        <v>10652720000</v>
      </c>
      <c r="C20" s="6">
        <v>14999000000</v>
      </c>
      <c r="D20" s="6">
        <f>B20-C20</f>
        <v>-4346280000</v>
      </c>
      <c r="E20" s="14">
        <f>(D20/B20)*-1</f>
        <v>0.40799720634729908</v>
      </c>
      <c r="F20" s="115"/>
    </row>
    <row r="21" spans="1:6" x14ac:dyDescent="0.3">
      <c r="A21" s="16" t="s">
        <v>4</v>
      </c>
      <c r="B21" s="36">
        <f>B19+B20</f>
        <v>157981955900</v>
      </c>
      <c r="C21" s="36">
        <f>C19+C20</f>
        <v>139040000000</v>
      </c>
      <c r="D21" s="6">
        <f>C21-B21</f>
        <v>-18941955900</v>
      </c>
      <c r="E21" s="14">
        <f t="shared" si="1"/>
        <v>-0.11989948973659972</v>
      </c>
      <c r="F21" s="115"/>
    </row>
    <row r="22" spans="1:6" x14ac:dyDescent="0.3">
      <c r="A22" s="3" t="s">
        <v>83</v>
      </c>
      <c r="B22" s="5">
        <f>B17-B21</f>
        <v>-7684735351.7661743</v>
      </c>
      <c r="C22" s="5">
        <f>C17-C21</f>
        <v>1526000000</v>
      </c>
      <c r="D22" s="5">
        <f>C22-B22</f>
        <v>9210735351.7661743</v>
      </c>
      <c r="E22" s="14">
        <f t="shared" si="1"/>
        <v>-1.1985754785490799</v>
      </c>
      <c r="F22" s="115"/>
    </row>
    <row r="25" spans="1:6" x14ac:dyDescent="0.3">
      <c r="A25" s="22" t="s">
        <v>87</v>
      </c>
    </row>
  </sheetData>
  <mergeCells count="3">
    <mergeCell ref="E1:F1"/>
    <mergeCell ref="H1:K1"/>
    <mergeCell ref="A14:E14"/>
  </mergeCells>
  <hyperlinks>
    <hyperlink ref="A25" r:id="rId1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2014IncomeStatement</vt:lpstr>
      <vt:lpstr>MasterBudget</vt:lpstr>
      <vt:lpstr>FlexibleBudget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Rich</dc:creator>
  <cp:lastModifiedBy>Owner</cp:lastModifiedBy>
  <cp:lastPrinted>2016-04-13T01:44:58Z</cp:lastPrinted>
  <dcterms:created xsi:type="dcterms:W3CDTF">2016-03-05T18:16:44Z</dcterms:created>
  <dcterms:modified xsi:type="dcterms:W3CDTF">2016-10-10T03:33:30Z</dcterms:modified>
</cp:coreProperties>
</file>